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5.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6.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7.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624"/>
  <workbookPr defaultThemeVersion="166925"/>
  <mc:AlternateContent xmlns:mc="http://schemas.openxmlformats.org/markup-compatibility/2006">
    <mc:Choice Requires="x15">
      <x15ac:absPath xmlns:x15ac="http://schemas.microsoft.com/office/spreadsheetml/2010/11/ac" url="U:\Data_and_Tools\FAST\Results\"/>
    </mc:Choice>
  </mc:AlternateContent>
  <xr:revisionPtr revIDLastSave="0" documentId="8_{192C9654-4EF3-4A62-B85A-8908C8583CE8}" xr6:coauthVersionLast="45" xr6:coauthVersionMax="45" xr10:uidLastSave="{00000000-0000-0000-0000-000000000000}"/>
  <bookViews>
    <workbookView xWindow="-120" yWindow="-120" windowWidth="20730" windowHeight="11160" tabRatio="684" firstSheet="3" activeTab="4" xr2:uid="{9C7C27CD-0619-4F72-AA4C-F13A4BC01C95}"/>
  </bookViews>
  <sheets>
    <sheet name="Flow" sheetId="1" state="hidden" r:id="rId1"/>
    <sheet name="Carrol_Creek_Comp" sheetId="2" state="hidden" r:id="rId2"/>
    <sheet name="Initial Damage Calcs_Crouch" sheetId="3" state="hidden" r:id="rId3"/>
    <sheet name="Table Results" sheetId="8" r:id="rId4"/>
    <sheet name="CarrolCreek_Load Source" sheetId="7" r:id="rId5"/>
    <sheet name="CarrolCreek_Retention" sheetId="10" r:id="rId6"/>
    <sheet name="Chesterfield_Load Source" sheetId="11" r:id="rId7"/>
    <sheet name="Chesterfield_Retention" sheetId="12" r:id="rId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66" i="7" l="1"/>
  <c r="I62" i="7"/>
  <c r="H62" i="7"/>
  <c r="K66" i="7"/>
  <c r="L66" i="7" s="1"/>
  <c r="F65" i="7"/>
  <c r="H65" i="7" s="1"/>
  <c r="F64" i="7"/>
  <c r="H64" i="7" s="1"/>
  <c r="F63" i="7"/>
  <c r="F62" i="7"/>
  <c r="C9" i="8"/>
  <c r="F56" i="7"/>
  <c r="F54" i="7"/>
  <c r="F53" i="7"/>
  <c r="L57" i="7"/>
  <c r="J57" i="7"/>
  <c r="K57" i="7"/>
  <c r="J49" i="11"/>
  <c r="J57" i="11"/>
  <c r="K57" i="11"/>
  <c r="L57" i="11" s="1"/>
  <c r="M57" i="11"/>
  <c r="I64" i="7" l="1"/>
  <c r="I65" i="7"/>
  <c r="H63" i="7"/>
  <c r="I63" i="7"/>
  <c r="M49" i="11"/>
  <c r="M42" i="11"/>
  <c r="M35" i="11"/>
  <c r="M28" i="11"/>
  <c r="M21" i="11"/>
  <c r="L46" i="11"/>
  <c r="L47" i="11"/>
  <c r="L45" i="11"/>
  <c r="L39" i="11"/>
  <c r="L40" i="11"/>
  <c r="L38" i="11"/>
  <c r="L32" i="11"/>
  <c r="L33" i="11"/>
  <c r="L31" i="11"/>
  <c r="L25" i="11"/>
  <c r="L26" i="11"/>
  <c r="L24" i="11"/>
  <c r="L18" i="11"/>
  <c r="L19" i="11"/>
  <c r="L17" i="11"/>
  <c r="I56" i="11" l="1"/>
  <c r="H56" i="11"/>
  <c r="H18" i="11"/>
  <c r="H17" i="11"/>
  <c r="L21" i="11"/>
  <c r="J21" i="11"/>
  <c r="H54" i="11"/>
  <c r="I46" i="11" l="1"/>
  <c r="I54" i="11"/>
  <c r="I17" i="11"/>
  <c r="H55" i="11"/>
  <c r="G10" i="11"/>
  <c r="F56" i="11"/>
  <c r="F55" i="11"/>
  <c r="F54" i="11"/>
  <c r="F53" i="11"/>
  <c r="I53" i="11" s="1"/>
  <c r="H9" i="8"/>
  <c r="H8" i="8"/>
  <c r="H4" i="8"/>
  <c r="H5" i="8"/>
  <c r="F20" i="11"/>
  <c r="H20" i="11" s="1"/>
  <c r="F19" i="11"/>
  <c r="H19" i="11" s="1"/>
  <c r="F18" i="11"/>
  <c r="F17" i="11"/>
  <c r="I17" i="7"/>
  <c r="B4" i="8"/>
  <c r="B5" i="8"/>
  <c r="F20" i="7"/>
  <c r="F19" i="7"/>
  <c r="I19" i="7" s="1"/>
  <c r="F18" i="7"/>
  <c r="F17" i="7"/>
  <c r="I20" i="7" l="1"/>
  <c r="H53" i="11"/>
  <c r="I9" i="8"/>
  <c r="J9" i="8" s="1"/>
  <c r="I55" i="11"/>
  <c r="K17" i="11"/>
  <c r="I20" i="11"/>
  <c r="I18" i="11"/>
  <c r="K18" i="11" s="1"/>
  <c r="I19" i="11"/>
  <c r="K19" i="11" s="1"/>
  <c r="I18" i="7"/>
  <c r="J21" i="7" s="1"/>
  <c r="K24" i="12"/>
  <c r="H41" i="12"/>
  <c r="H40" i="12"/>
  <c r="H38" i="12"/>
  <c r="H39" i="12"/>
  <c r="G11" i="10"/>
  <c r="G10" i="10"/>
  <c r="I17" i="8"/>
  <c r="I16" i="8"/>
  <c r="I15" i="8"/>
  <c r="I14" i="8"/>
  <c r="H39" i="10"/>
  <c r="I34" i="10"/>
  <c r="I33" i="10"/>
  <c r="I41" i="10"/>
  <c r="G10" i="12"/>
  <c r="F41" i="12"/>
  <c r="I40" i="12" s="1"/>
  <c r="F40" i="12"/>
  <c r="I39" i="12" s="1"/>
  <c r="F39" i="12"/>
  <c r="F38" i="12"/>
  <c r="F34" i="12"/>
  <c r="I34" i="12" s="1"/>
  <c r="F33" i="12"/>
  <c r="F32" i="12"/>
  <c r="F31" i="12"/>
  <c r="H31" i="12" s="1"/>
  <c r="F27" i="12"/>
  <c r="F26" i="12"/>
  <c r="F25" i="12"/>
  <c r="F24" i="12"/>
  <c r="F18" i="12"/>
  <c r="F19" i="12"/>
  <c r="F20" i="12"/>
  <c r="I20" i="12" s="1"/>
  <c r="F17" i="12"/>
  <c r="F11" i="12"/>
  <c r="G11" i="12" s="1"/>
  <c r="F12" i="12"/>
  <c r="F13" i="12"/>
  <c r="F10" i="12"/>
  <c r="I41" i="12"/>
  <c r="I38" i="12"/>
  <c r="I27" i="12"/>
  <c r="H17" i="8"/>
  <c r="H16" i="8"/>
  <c r="H15" i="8"/>
  <c r="H14" i="8"/>
  <c r="H7" i="8"/>
  <c r="H6" i="8"/>
  <c r="L42" i="10"/>
  <c r="L28" i="10"/>
  <c r="L21" i="10"/>
  <c r="K21" i="11" l="1"/>
  <c r="I19" i="12"/>
  <c r="J42" i="12"/>
  <c r="I32" i="12"/>
  <c r="I18" i="12"/>
  <c r="H19" i="12"/>
  <c r="H26" i="12"/>
  <c r="I25" i="12"/>
  <c r="I11" i="12"/>
  <c r="K39" i="12" s="1"/>
  <c r="L39" i="12" s="1"/>
  <c r="H32" i="12"/>
  <c r="I10" i="12"/>
  <c r="I31" i="12"/>
  <c r="I24" i="12"/>
  <c r="L24" i="12" s="1"/>
  <c r="H25" i="12"/>
  <c r="G13" i="12"/>
  <c r="H17" i="12"/>
  <c r="I26" i="12"/>
  <c r="H27" i="12"/>
  <c r="H33" i="12"/>
  <c r="H20" i="12"/>
  <c r="G12" i="12"/>
  <c r="I13" i="12"/>
  <c r="I17" i="12"/>
  <c r="J21" i="12" s="1"/>
  <c r="H18" i="12"/>
  <c r="H24" i="12"/>
  <c r="I33" i="12"/>
  <c r="H34" i="12"/>
  <c r="I12" i="12"/>
  <c r="I4" i="8" l="1"/>
  <c r="J4" i="8" s="1"/>
  <c r="K18" i="12"/>
  <c r="L18" i="12" s="1"/>
  <c r="K32" i="12"/>
  <c r="L32" i="12" s="1"/>
  <c r="K25" i="12"/>
  <c r="L25" i="12" s="1"/>
  <c r="J35" i="12"/>
  <c r="K31" i="12"/>
  <c r="L31" i="12" s="1"/>
  <c r="J28" i="12"/>
  <c r="K38" i="12"/>
  <c r="L38" i="12" s="1"/>
  <c r="K17" i="12"/>
  <c r="L17" i="12" s="1"/>
  <c r="J14" i="12"/>
  <c r="K42" i="12" s="1"/>
  <c r="L42" i="12" s="1"/>
  <c r="K33" i="12"/>
  <c r="L33" i="12" s="1"/>
  <c r="K26" i="12"/>
  <c r="L26" i="12" s="1"/>
  <c r="K19" i="12"/>
  <c r="L19" i="12" s="1"/>
  <c r="K40" i="12"/>
  <c r="L40" i="12" s="1"/>
  <c r="K35" i="12" l="1"/>
  <c r="L35" i="12" s="1"/>
  <c r="K21" i="12"/>
  <c r="L21" i="12" s="1"/>
  <c r="K28" i="12"/>
  <c r="L28" i="12" s="1"/>
  <c r="F48" i="11"/>
  <c r="I48" i="11" s="1"/>
  <c r="F47" i="11"/>
  <c r="F46" i="11"/>
  <c r="I45" i="11" s="1"/>
  <c r="F45" i="11"/>
  <c r="F41" i="11"/>
  <c r="I41" i="11" s="1"/>
  <c r="F40" i="11"/>
  <c r="F39" i="11"/>
  <c r="F38" i="11"/>
  <c r="F34" i="11"/>
  <c r="I34" i="11" s="1"/>
  <c r="F33" i="11"/>
  <c r="F32" i="11"/>
  <c r="I31" i="11" s="1"/>
  <c r="F31" i="11"/>
  <c r="F27" i="11"/>
  <c r="I27" i="11" s="1"/>
  <c r="F26" i="11"/>
  <c r="F25" i="11"/>
  <c r="F24" i="11"/>
  <c r="F13" i="11"/>
  <c r="F12" i="11"/>
  <c r="H47" i="11" s="1"/>
  <c r="F11" i="11"/>
  <c r="H25" i="11" s="1"/>
  <c r="F10" i="11"/>
  <c r="H31" i="11" s="1"/>
  <c r="F41" i="10"/>
  <c r="F40" i="10"/>
  <c r="F39" i="10"/>
  <c r="F38" i="10"/>
  <c r="F34" i="10"/>
  <c r="F33" i="10"/>
  <c r="F32" i="10"/>
  <c r="F31" i="10"/>
  <c r="F27" i="10"/>
  <c r="I27" i="10" s="1"/>
  <c r="F26" i="10"/>
  <c r="F25" i="10"/>
  <c r="F24" i="10"/>
  <c r="F20" i="10"/>
  <c r="I20" i="10" s="1"/>
  <c r="F19" i="10"/>
  <c r="F18" i="10"/>
  <c r="F17" i="10"/>
  <c r="F13" i="10"/>
  <c r="F12" i="10"/>
  <c r="H19" i="10" s="1"/>
  <c r="F11" i="10"/>
  <c r="F10" i="10"/>
  <c r="J14" i="8"/>
  <c r="B17" i="8"/>
  <c r="B16" i="8"/>
  <c r="B15" i="8"/>
  <c r="B14" i="8"/>
  <c r="I25" i="11" l="1"/>
  <c r="I39" i="11"/>
  <c r="I24" i="11"/>
  <c r="I40" i="11"/>
  <c r="I11" i="11"/>
  <c r="K39" i="11" s="1"/>
  <c r="I47" i="11"/>
  <c r="G12" i="11"/>
  <c r="H32" i="11"/>
  <c r="I38" i="11"/>
  <c r="J42" i="11" s="1"/>
  <c r="H26" i="11"/>
  <c r="G11" i="11"/>
  <c r="I12" i="11"/>
  <c r="K40" i="11" s="1"/>
  <c r="H33" i="11"/>
  <c r="H48" i="11"/>
  <c r="I26" i="11"/>
  <c r="I32" i="11"/>
  <c r="H39" i="11"/>
  <c r="K47" i="11"/>
  <c r="I10" i="11"/>
  <c r="G13" i="11"/>
  <c r="H24" i="11"/>
  <c r="K26" i="11"/>
  <c r="I33" i="11"/>
  <c r="H34" i="11"/>
  <c r="H40" i="11"/>
  <c r="H46" i="11"/>
  <c r="H38" i="11"/>
  <c r="K25" i="11"/>
  <c r="H27" i="11"/>
  <c r="H45" i="11"/>
  <c r="I13" i="11"/>
  <c r="H41" i="11"/>
  <c r="H40" i="10"/>
  <c r="I40" i="10"/>
  <c r="H18" i="10"/>
  <c r="I18" i="10"/>
  <c r="I31" i="10"/>
  <c r="I24" i="10"/>
  <c r="H24" i="10"/>
  <c r="I25" i="10"/>
  <c r="I38" i="10"/>
  <c r="I17" i="10"/>
  <c r="I39" i="10"/>
  <c r="I32" i="10"/>
  <c r="I11" i="10"/>
  <c r="H25" i="10"/>
  <c r="I12" i="10"/>
  <c r="H41" i="10"/>
  <c r="H31" i="10"/>
  <c r="I19" i="10"/>
  <c r="H20" i="10"/>
  <c r="H26" i="10"/>
  <c r="H32" i="10"/>
  <c r="H38" i="10"/>
  <c r="I10" i="10"/>
  <c r="G13" i="10"/>
  <c r="H17" i="10"/>
  <c r="I26" i="10"/>
  <c r="H27" i="10"/>
  <c r="H33" i="10"/>
  <c r="G12" i="10"/>
  <c r="I13" i="10"/>
  <c r="H34" i="10"/>
  <c r="J16" i="8"/>
  <c r="J15" i="8"/>
  <c r="J17" i="8"/>
  <c r="B8" i="8"/>
  <c r="B7" i="8"/>
  <c r="B6" i="8"/>
  <c r="J28" i="11" l="1"/>
  <c r="J35" i="11"/>
  <c r="K46" i="11"/>
  <c r="K33" i="11"/>
  <c r="K32" i="11"/>
  <c r="K45" i="11"/>
  <c r="K31" i="11"/>
  <c r="K38" i="11"/>
  <c r="K24" i="11"/>
  <c r="J14" i="11"/>
  <c r="K28" i="11" s="1"/>
  <c r="K33" i="10"/>
  <c r="L33" i="10" s="1"/>
  <c r="K40" i="10"/>
  <c r="L40" i="10" s="1"/>
  <c r="K26" i="10"/>
  <c r="L26" i="10" s="1"/>
  <c r="J42" i="10"/>
  <c r="J35" i="10"/>
  <c r="K32" i="10"/>
  <c r="L32" i="10" s="1"/>
  <c r="J21" i="10"/>
  <c r="K19" i="10"/>
  <c r="L19" i="10" s="1"/>
  <c r="K18" i="10"/>
  <c r="L18" i="10" s="1"/>
  <c r="K25" i="10"/>
  <c r="L25" i="10" s="1"/>
  <c r="K39" i="10"/>
  <c r="L39" i="10" s="1"/>
  <c r="J28" i="10"/>
  <c r="K38" i="10"/>
  <c r="L38" i="10" s="1"/>
  <c r="K31" i="10"/>
  <c r="L31" i="10" s="1"/>
  <c r="K17" i="10"/>
  <c r="L17" i="10" s="1"/>
  <c r="J14" i="10"/>
  <c r="K24" i="10"/>
  <c r="L24" i="10" s="1"/>
  <c r="F55" i="7"/>
  <c r="F48" i="7"/>
  <c r="F47" i="7"/>
  <c r="F46" i="7"/>
  <c r="F45" i="7"/>
  <c r="I45" i="7" s="1"/>
  <c r="F41" i="7"/>
  <c r="I41" i="7" s="1"/>
  <c r="F40" i="7"/>
  <c r="F39" i="7"/>
  <c r="F38" i="7"/>
  <c r="F34" i="7"/>
  <c r="F33" i="7"/>
  <c r="F32" i="7"/>
  <c r="F31" i="7"/>
  <c r="I31" i="7" s="1"/>
  <c r="F27" i="7"/>
  <c r="I27" i="7" s="1"/>
  <c r="F26" i="7"/>
  <c r="F25" i="7"/>
  <c r="F24" i="7"/>
  <c r="F13" i="7"/>
  <c r="F12" i="7"/>
  <c r="H19" i="7" s="1"/>
  <c r="F11" i="7"/>
  <c r="H18" i="7" s="1"/>
  <c r="F10" i="7"/>
  <c r="I24" i="7" l="1"/>
  <c r="I38" i="7"/>
  <c r="K38" i="7" s="1"/>
  <c r="L38" i="7" s="1"/>
  <c r="G13" i="7"/>
  <c r="H20" i="7"/>
  <c r="H17" i="7"/>
  <c r="H24" i="7"/>
  <c r="H45" i="7"/>
  <c r="H53" i="7"/>
  <c r="I32" i="7"/>
  <c r="I46" i="7"/>
  <c r="J49" i="7" s="1"/>
  <c r="H54" i="7"/>
  <c r="I53" i="7"/>
  <c r="H55" i="7"/>
  <c r="I54" i="7"/>
  <c r="H56" i="7"/>
  <c r="I55" i="7"/>
  <c r="I56" i="7"/>
  <c r="L28" i="11"/>
  <c r="I5" i="8"/>
  <c r="J5" i="8" s="1"/>
  <c r="I10" i="7"/>
  <c r="H25" i="7"/>
  <c r="I33" i="7"/>
  <c r="J35" i="7" s="1"/>
  <c r="H39" i="7"/>
  <c r="I47" i="7"/>
  <c r="I34" i="7"/>
  <c r="I25" i="7"/>
  <c r="J28" i="7" s="1"/>
  <c r="I39" i="7"/>
  <c r="I11" i="7"/>
  <c r="G10" i="7"/>
  <c r="H48" i="7"/>
  <c r="I13" i="7"/>
  <c r="I26" i="7"/>
  <c r="H32" i="7"/>
  <c r="I40" i="7"/>
  <c r="H46" i="7"/>
  <c r="I48" i="7"/>
  <c r="K49" i="11"/>
  <c r="K42" i="11"/>
  <c r="K35" i="11"/>
  <c r="K42" i="10"/>
  <c r="K35" i="10"/>
  <c r="L35" i="10" s="1"/>
  <c r="K28" i="10"/>
  <c r="K21" i="10"/>
  <c r="H26" i="7"/>
  <c r="K31" i="7"/>
  <c r="L31" i="7" s="1"/>
  <c r="H33" i="7"/>
  <c r="H40" i="7"/>
  <c r="K45" i="7"/>
  <c r="L45" i="7" s="1"/>
  <c r="H47" i="7"/>
  <c r="G12" i="7"/>
  <c r="G11" i="7"/>
  <c r="I12" i="7"/>
  <c r="K19" i="7" s="1"/>
  <c r="L19" i="7" s="1"/>
  <c r="H27" i="7"/>
  <c r="H34" i="7"/>
  <c r="H41" i="7"/>
  <c r="H31" i="7"/>
  <c r="H38" i="7"/>
  <c r="J42" i="7" l="1"/>
  <c r="K46" i="7"/>
  <c r="L46" i="7" s="1"/>
  <c r="K18" i="7"/>
  <c r="L18" i="7" s="1"/>
  <c r="K24" i="7"/>
  <c r="L24" i="7" s="1"/>
  <c r="K17" i="7"/>
  <c r="L17" i="7" s="1"/>
  <c r="L49" i="11"/>
  <c r="I8" i="8"/>
  <c r="J8" i="8" s="1"/>
  <c r="L35" i="11"/>
  <c r="I6" i="8"/>
  <c r="J6" i="8" s="1"/>
  <c r="L42" i="11"/>
  <c r="I7" i="8"/>
  <c r="J7" i="8" s="1"/>
  <c r="K25" i="7"/>
  <c r="L25" i="7" s="1"/>
  <c r="J14" i="7"/>
  <c r="K32" i="7"/>
  <c r="L32" i="7" s="1"/>
  <c r="K39" i="7"/>
  <c r="L39" i="7" s="1"/>
  <c r="C14" i="8"/>
  <c r="D14" i="8" s="1"/>
  <c r="C15" i="8"/>
  <c r="D15" i="8" s="1"/>
  <c r="C16" i="8"/>
  <c r="D16" i="8" s="1"/>
  <c r="C17" i="8"/>
  <c r="D17" i="8" s="1"/>
  <c r="K35" i="7"/>
  <c r="L35" i="7" s="1"/>
  <c r="K47" i="7"/>
  <c r="L47" i="7" s="1"/>
  <c r="K40" i="7"/>
  <c r="L40" i="7" s="1"/>
  <c r="K33" i="7"/>
  <c r="L33" i="7" s="1"/>
  <c r="K26" i="7"/>
  <c r="L26" i="7" s="1"/>
  <c r="K49" i="7" l="1"/>
  <c r="L49" i="7" s="1"/>
  <c r="K21" i="7"/>
  <c r="K42" i="7"/>
  <c r="L42" i="7" s="1"/>
  <c r="K28" i="7"/>
  <c r="L28" i="7" s="1"/>
  <c r="C6" i="8"/>
  <c r="D6" i="8" s="1"/>
  <c r="C8" i="8"/>
  <c r="C5" i="8"/>
  <c r="D5" i="8" s="1"/>
  <c r="L21" i="7" l="1"/>
  <c r="C4" i="8"/>
  <c r="D4" i="8" s="1"/>
  <c r="C7" i="8"/>
  <c r="D7" i="8" s="1"/>
  <c r="D9" i="8"/>
  <c r="D8" i="8"/>
  <c r="V44" i="1"/>
  <c r="V43" i="1"/>
  <c r="V42" i="1"/>
  <c r="V41" i="1"/>
  <c r="U44" i="1"/>
  <c r="U43" i="1"/>
  <c r="U42" i="1"/>
  <c r="U41" i="1"/>
  <c r="T44" i="1"/>
  <c r="T43" i="1"/>
  <c r="T42" i="1"/>
  <c r="T41" i="1"/>
  <c r="S44" i="1"/>
  <c r="S43" i="1"/>
  <c r="S42" i="1"/>
  <c r="S41" i="1"/>
  <c r="R44" i="1"/>
  <c r="R43" i="1"/>
  <c r="R42" i="1"/>
  <c r="R41" i="1"/>
  <c r="M87" i="1" l="1"/>
  <c r="L87" i="1"/>
  <c r="L88" i="1" s="1"/>
  <c r="L89" i="1" s="1"/>
  <c r="J87" i="1"/>
  <c r="I87" i="1"/>
  <c r="I88" i="1" s="1"/>
  <c r="I89" i="1" s="1"/>
  <c r="G87" i="1"/>
  <c r="F87" i="1"/>
  <c r="F88" i="1" s="1"/>
  <c r="F89" i="1" s="1"/>
  <c r="D87" i="1"/>
  <c r="C87" i="1"/>
  <c r="C88" i="1" s="1"/>
  <c r="C89" i="1" s="1"/>
  <c r="F82" i="1"/>
  <c r="F81" i="1"/>
  <c r="F80" i="1"/>
  <c r="M72" i="1"/>
  <c r="L72" i="1"/>
  <c r="L73" i="1" s="1"/>
  <c r="L74" i="1" s="1"/>
  <c r="J72" i="1"/>
  <c r="I72" i="1"/>
  <c r="I73" i="1" s="1"/>
  <c r="I74" i="1" s="1"/>
  <c r="G72" i="1"/>
  <c r="F72" i="1"/>
  <c r="F73" i="1" s="1"/>
  <c r="F74" i="1" s="1"/>
  <c r="D72" i="1"/>
  <c r="C72" i="1"/>
  <c r="C73" i="1" s="1"/>
  <c r="C74" i="1" s="1"/>
  <c r="F67" i="1"/>
  <c r="F66" i="1"/>
  <c r="F65" i="1"/>
  <c r="M57" i="1"/>
  <c r="L57" i="1"/>
  <c r="L58" i="1" s="1"/>
  <c r="L59" i="1" s="1"/>
  <c r="J57" i="1"/>
  <c r="I57" i="1"/>
  <c r="I58" i="1" s="1"/>
  <c r="I59" i="1" s="1"/>
  <c r="G57" i="1"/>
  <c r="F57" i="1"/>
  <c r="F58" i="1" s="1"/>
  <c r="F59" i="1" s="1"/>
  <c r="D57" i="1"/>
  <c r="C57" i="1"/>
  <c r="C58" i="1" s="1"/>
  <c r="C59" i="1" s="1"/>
  <c r="F52" i="1"/>
  <c r="F51" i="1"/>
  <c r="F50" i="1"/>
  <c r="M42" i="1"/>
  <c r="L42" i="1"/>
  <c r="J42" i="1"/>
  <c r="I42" i="1"/>
  <c r="G42" i="1"/>
  <c r="F42" i="1"/>
  <c r="D42" i="1"/>
  <c r="C42" i="1"/>
  <c r="C43" i="1" s="1"/>
  <c r="C44" i="1" s="1"/>
  <c r="F37" i="1"/>
  <c r="F36" i="1"/>
  <c r="F35" i="1"/>
  <c r="J88" i="1" l="1"/>
  <c r="J89" i="1" s="1"/>
  <c r="D88" i="1"/>
  <c r="D89" i="1" s="1"/>
  <c r="J58" i="1"/>
  <c r="J59" i="1" s="1"/>
  <c r="M88" i="1"/>
  <c r="M89" i="1" s="1"/>
  <c r="J73" i="1"/>
  <c r="J74" i="1" s="1"/>
  <c r="G58" i="1"/>
  <c r="G59" i="1" s="1"/>
  <c r="D43" i="1"/>
  <c r="D44" i="1" s="1"/>
  <c r="G88" i="1"/>
  <c r="G89" i="1" s="1"/>
  <c r="D73" i="1"/>
  <c r="D74" i="1" s="1"/>
  <c r="G73" i="1"/>
  <c r="G74" i="1" s="1"/>
  <c r="M58" i="1"/>
  <c r="M59" i="1" s="1"/>
  <c r="D58" i="1"/>
  <c r="D59" i="1" s="1"/>
  <c r="M73" i="1"/>
  <c r="M74" i="1" s="1"/>
  <c r="L5" i="3"/>
  <c r="L6" i="3"/>
  <c r="L7" i="3"/>
  <c r="L4" i="3"/>
  <c r="B5" i="3"/>
  <c r="B6" i="3"/>
  <c r="B7" i="3"/>
  <c r="B4" i="3"/>
  <c r="J7" i="3"/>
  <c r="J6" i="3"/>
  <c r="J5" i="3"/>
  <c r="J4" i="3"/>
  <c r="F5" i="3"/>
  <c r="F6" i="3"/>
  <c r="F7" i="3"/>
  <c r="F4" i="3"/>
  <c r="M27" i="1" l="1"/>
  <c r="L27" i="1"/>
  <c r="L28" i="1" s="1"/>
  <c r="L29" i="1" s="1"/>
  <c r="J27" i="1"/>
  <c r="I27" i="1"/>
  <c r="I28" i="1" s="1"/>
  <c r="I29" i="1" s="1"/>
  <c r="G27" i="1"/>
  <c r="F27" i="1"/>
  <c r="F28" i="1" s="1"/>
  <c r="F29" i="1" s="1"/>
  <c r="D27" i="1"/>
  <c r="C27" i="1"/>
  <c r="G28" i="1" l="1"/>
  <c r="G29" i="1" s="1"/>
  <c r="G43" i="1"/>
  <c r="G44" i="1" s="1"/>
  <c r="J28" i="1"/>
  <c r="J29" i="1" s="1"/>
  <c r="M28" i="1"/>
  <c r="M29" i="1" s="1"/>
  <c r="C28" i="1"/>
  <c r="F43" i="1"/>
  <c r="F44" i="1" s="1"/>
  <c r="D28" i="1"/>
  <c r="F21" i="1"/>
  <c r="F22" i="1"/>
  <c r="F20" i="1"/>
  <c r="M43" i="1" l="1"/>
  <c r="M44" i="1" s="1"/>
  <c r="J43" i="1"/>
  <c r="J44" i="1" s="1"/>
  <c r="D29" i="1"/>
  <c r="C29" i="1"/>
  <c r="I43" i="1"/>
  <c r="I44" i="1" s="1"/>
  <c r="L43" i="1"/>
  <c r="L44" i="1" s="1"/>
  <c r="E15" i="1"/>
  <c r="F15" i="1" s="1"/>
  <c r="E14" i="1"/>
  <c r="F14" i="1" s="1"/>
  <c r="E13" i="1"/>
  <c r="F13" i="1" s="1"/>
</calcChain>
</file>

<file path=xl/sharedStrings.xml><?xml version="1.0" encoding="utf-8"?>
<sst xmlns="http://schemas.openxmlformats.org/spreadsheetml/2006/main" count="484" uniqueCount="134">
  <si>
    <t>NHD Plus ID</t>
  </si>
  <si>
    <t>Clifton Branch Trib 98</t>
  </si>
  <si>
    <t>Rock Creek</t>
  </si>
  <si>
    <t>Shookstown Creek Trib 96</t>
  </si>
  <si>
    <t>Trib to Shookstown</t>
  </si>
  <si>
    <t>Waterline Name</t>
  </si>
  <si>
    <t>DA</t>
  </si>
  <si>
    <t>HMS based flows</t>
  </si>
  <si>
    <t>Proposed Events</t>
  </si>
  <si>
    <t xml:space="preserve"> 10 Dec 2003</t>
  </si>
  <si>
    <t xml:space="preserve"> 06 Sep 1996</t>
  </si>
  <si>
    <t>flow peak</t>
  </si>
  <si>
    <t>% chance exceedance</t>
  </si>
  <si>
    <t>omputed</t>
  </si>
  <si>
    <t>Variance</t>
  </si>
  <si>
    <t>|</t>
  </si>
  <si>
    <t>Percent</t>
  </si>
  <si>
    <t>Confidence</t>
  </si>
  <si>
    <t>Limits</t>
  </si>
  <si>
    <t>Curve</t>
  </si>
  <si>
    <t>Log(EMA)</t>
  </si>
  <si>
    <t>Chance</t>
  </si>
  <si>
    <t>FLOW,</t>
  </si>
  <si>
    <t>CFS</t>
  </si>
  <si>
    <t>Exceedance</t>
  </si>
  <si>
    <t>|------------------------------|-------------|-----------------------------|</t>
  </si>
  <si>
    <t>% reduction</t>
  </si>
  <si>
    <t>non BMP</t>
  </si>
  <si>
    <t>with BMP</t>
  </si>
  <si>
    <t>HSPF Output</t>
  </si>
  <si>
    <t>Reach</t>
  </si>
  <si>
    <t>River Sta</t>
  </si>
  <si>
    <t>Min Ch El</t>
  </si>
  <si>
    <t>(ft)</t>
  </si>
  <si>
    <t>Main</t>
  </si>
  <si>
    <t>P10yr</t>
  </si>
  <si>
    <t>P50yr</t>
  </si>
  <si>
    <t>P500yr</t>
  </si>
  <si>
    <t>P100yr</t>
  </si>
  <si>
    <t>P100yr BMP</t>
  </si>
  <si>
    <t>Factor</t>
  </si>
  <si>
    <t>Scale HSPF Flows to FIS @DS Rock Creek</t>
  </si>
  <si>
    <t>DS RC</t>
  </si>
  <si>
    <t>US RC</t>
  </si>
  <si>
    <t>US ST</t>
  </si>
  <si>
    <t>FIS location</t>
  </si>
  <si>
    <t>*Note that Flow adjustments had to be made for the P50yr and P500yr to hit the FIS profiles. For the P50yr the upstream ratios were copied from the 10yr. For the P500yr upstream ratio 1 is based on P100yr</t>
  </si>
  <si>
    <t>P10yr_BMP</t>
  </si>
  <si>
    <t>P50yr_BMP</t>
  </si>
  <si>
    <t>P100yr_BMP</t>
  </si>
  <si>
    <t>P500yr_BMP</t>
  </si>
  <si>
    <t>Struct</t>
  </si>
  <si>
    <t>Cont</t>
  </si>
  <si>
    <t>No BMP</t>
  </si>
  <si>
    <t>With BMP</t>
  </si>
  <si>
    <t>Total</t>
  </si>
  <si>
    <t>Damage Reduced</t>
  </si>
  <si>
    <t>P10yr_w_Max_BMP</t>
  </si>
  <si>
    <t>P50yr_w_Max_BMP</t>
  </si>
  <si>
    <t>P100yr_w_Max_BMP</t>
  </si>
  <si>
    <t>P500yr_w_Max_BMP</t>
  </si>
  <si>
    <t>25% Group 2 to 3</t>
  </si>
  <si>
    <t>Max Group 1 to 2 and 2 to 3</t>
  </si>
  <si>
    <t>P10yr_w_25%_BMP</t>
  </si>
  <si>
    <t>P50yr_w_25%_BMP</t>
  </si>
  <si>
    <t>P100yr_w_25%_BMP</t>
  </si>
  <si>
    <t>P500yr_w_25%_BMP</t>
  </si>
  <si>
    <t>50% Group 2 to 3</t>
  </si>
  <si>
    <t>75% Group 2 to 3</t>
  </si>
  <si>
    <t>100% Group 2 to 3</t>
  </si>
  <si>
    <t>P10yr_w_50%_BMP</t>
  </si>
  <si>
    <t>P50yr_w_50%_BMP</t>
  </si>
  <si>
    <t>P100yr_w_50%_BMP</t>
  </si>
  <si>
    <t>P500yr_w_50%_BMP</t>
  </si>
  <si>
    <t>P10yr_w_75%_BMP</t>
  </si>
  <si>
    <t>P50yr_w_75%_BMP</t>
  </si>
  <si>
    <t>P100yr_w_75%_BMP</t>
  </si>
  <si>
    <t>P500yr_w_75%_BMP</t>
  </si>
  <si>
    <t>annual probability</t>
  </si>
  <si>
    <t>Total Reduction in Expected Annual Damage (from No BMP)</t>
  </si>
  <si>
    <t>Per-Acre Avg Reduction in Expected Annual Damage (from No BMP)</t>
  </si>
  <si>
    <t>Per-Acre Avg Reduction in Expected Annual Damage (from 100%2-3)</t>
  </si>
  <si>
    <t>3321.99 acres converted from Group 2-3</t>
  </si>
  <si>
    <t>552.4 acres converted from Group 1-2</t>
  </si>
  <si>
    <t>Expected Annual Damage
(Area Under Curve)</t>
  </si>
  <si>
    <t>25% Grp2-3 Conversion</t>
  </si>
  <si>
    <t>Acres Converted</t>
  </si>
  <si>
    <t>50% Grp2-3 Conversion</t>
  </si>
  <si>
    <t>75% Grp2-3 Conversion</t>
  </si>
  <si>
    <t>100% Grp2-3 Conversion</t>
  </si>
  <si>
    <t>Average Annual Per-Acre Damage Reduction</t>
  </si>
  <si>
    <t>BMP Scenario</t>
  </si>
  <si>
    <r>
      <t xml:space="preserve">Carrol Creek, </t>
    </r>
    <r>
      <rPr>
        <i/>
        <sz val="11"/>
        <color theme="1"/>
        <rFont val="Calibri"/>
        <family val="2"/>
        <scheme val="minor"/>
      </rPr>
      <t>Load Source BMPs</t>
    </r>
  </si>
  <si>
    <r>
      <t xml:space="preserve">Chesterfield, </t>
    </r>
    <r>
      <rPr>
        <i/>
        <sz val="11"/>
        <color theme="1"/>
        <rFont val="Calibri"/>
        <family val="2"/>
        <scheme val="minor"/>
      </rPr>
      <t>Load Source BMPs</t>
    </r>
  </si>
  <si>
    <t>25% Implementation</t>
  </si>
  <si>
    <t>50% Implementation</t>
  </si>
  <si>
    <t>75% Implementation</t>
  </si>
  <si>
    <t>100% Implementation</t>
  </si>
  <si>
    <t>Acres Affected</t>
  </si>
  <si>
    <r>
      <rPr>
        <b/>
        <u/>
        <sz val="11"/>
        <color theme="0"/>
        <rFont val="Calibri"/>
        <family val="2"/>
        <scheme val="minor"/>
      </rPr>
      <t>Calc Sheet Author:</t>
    </r>
    <r>
      <rPr>
        <sz val="11"/>
        <color theme="0"/>
        <rFont val="Calibri"/>
        <family val="2"/>
        <scheme val="minor"/>
      </rPr>
      <t xml:space="preserve"> G. Van Houtven</t>
    </r>
  </si>
  <si>
    <r>
      <rPr>
        <b/>
        <u/>
        <sz val="11"/>
        <color theme="0"/>
        <rFont val="Calibri"/>
        <family val="2"/>
        <scheme val="minor"/>
      </rPr>
      <t>Calc Sheet Author:</t>
    </r>
    <r>
      <rPr>
        <sz val="11"/>
        <color theme="0"/>
        <rFont val="Calibri"/>
        <family val="2"/>
        <scheme val="minor"/>
      </rPr>
      <t xml:space="preserve"> S. Colley</t>
    </r>
  </si>
  <si>
    <r>
      <rPr>
        <b/>
        <u/>
        <sz val="11"/>
        <color theme="0"/>
        <rFont val="Calibri"/>
        <family val="2"/>
        <scheme val="minor"/>
      </rPr>
      <t>Calc Sheet Update:</t>
    </r>
    <r>
      <rPr>
        <sz val="11"/>
        <color theme="0"/>
        <rFont val="Calibri"/>
        <family val="2"/>
        <scheme val="minor"/>
      </rPr>
      <t xml:space="preserve"> 04/16/20</t>
    </r>
  </si>
  <si>
    <r>
      <rPr>
        <b/>
        <u/>
        <sz val="11"/>
        <color theme="0"/>
        <rFont val="Calibri"/>
        <family val="2"/>
        <scheme val="minor"/>
      </rPr>
      <t>FAST Run Date:</t>
    </r>
    <r>
      <rPr>
        <sz val="11"/>
        <color theme="0"/>
        <rFont val="Calibri"/>
        <family val="2"/>
        <scheme val="minor"/>
      </rPr>
      <t xml:space="preserve"> 04/16/20</t>
    </r>
  </si>
  <si>
    <r>
      <rPr>
        <b/>
        <u/>
        <sz val="11"/>
        <color theme="0"/>
        <rFont val="Calibri"/>
        <family val="2"/>
        <scheme val="minor"/>
      </rPr>
      <t>FAST Analysis:</t>
    </r>
    <r>
      <rPr>
        <sz val="11"/>
        <color theme="0"/>
        <rFont val="Calibri"/>
        <family val="2"/>
        <scheme val="minor"/>
      </rPr>
      <t xml:space="preserve"> S. Colley</t>
    </r>
  </si>
  <si>
    <t>Total Expected Annual Damage Reduction (from No BMP)</t>
  </si>
  <si>
    <t>4209.462 acres converted from Group 2-3</t>
  </si>
  <si>
    <t>Area: Carrol Creek, MD
Scenario: Retention BMP</t>
  </si>
  <si>
    <t>Area: Carrol Creek, MD
Scenario: Load Source BMP</t>
  </si>
  <si>
    <t>Area: Chesterfield Co., VA
Scenario: Retention BMP</t>
  </si>
  <si>
    <t>Area: Chesterfield Co., VA
Scenario: Load Source BMP</t>
  </si>
  <si>
    <r>
      <t xml:space="preserve">Carrol Creek, </t>
    </r>
    <r>
      <rPr>
        <i/>
        <sz val="11"/>
        <color theme="1"/>
        <rFont val="Calibri"/>
        <family val="2"/>
        <scheme val="minor"/>
      </rPr>
      <t>Retention BMPs</t>
    </r>
  </si>
  <si>
    <r>
      <t xml:space="preserve">Chesterfield, </t>
    </r>
    <r>
      <rPr>
        <i/>
        <sz val="11"/>
        <color theme="1"/>
        <rFont val="Calibri"/>
        <family val="2"/>
        <scheme val="minor"/>
      </rPr>
      <t>Retention BMPs</t>
    </r>
  </si>
  <si>
    <t>5% Grp2-3 Conversion</t>
  </si>
  <si>
    <r>
      <rPr>
        <b/>
        <u/>
        <sz val="11"/>
        <color theme="0"/>
        <rFont val="Calibri"/>
        <family val="2"/>
        <scheme val="minor"/>
      </rPr>
      <t>Calc Sheet Update:</t>
    </r>
    <r>
      <rPr>
        <sz val="11"/>
        <color theme="0"/>
        <rFont val="Calibri"/>
        <family val="2"/>
        <scheme val="minor"/>
      </rPr>
      <t xml:space="preserve"> 04/23/20 (SKC)</t>
    </r>
  </si>
  <si>
    <r>
      <rPr>
        <b/>
        <u/>
        <sz val="11"/>
        <color theme="0"/>
        <rFont val="Calibri"/>
        <family val="2"/>
        <scheme val="minor"/>
      </rPr>
      <t>FAST Run Date:</t>
    </r>
    <r>
      <rPr>
        <sz val="11"/>
        <color theme="0"/>
        <rFont val="Calibri"/>
        <family val="2"/>
        <scheme val="minor"/>
      </rPr>
      <t xml:space="preserve"> 04/02/20 (original set); 04/23/20 (5% 2-3 set and 100% 1-2 set)</t>
    </r>
  </si>
  <si>
    <t>100% Grp 1-2 Conversion</t>
  </si>
  <si>
    <t>774.67 acres converted from Group 1-2</t>
  </si>
  <si>
    <r>
      <t xml:space="preserve">Damage Reduced, </t>
    </r>
    <r>
      <rPr>
        <b/>
        <u/>
        <sz val="11"/>
        <color rgb="FF0070C0"/>
        <rFont val="Calibri"/>
        <family val="2"/>
        <scheme val="minor"/>
      </rPr>
      <t>Group 1-2 ONLY</t>
    </r>
  </si>
  <si>
    <t>Per-Acre Avg Reduction in Expected Annual Damage</t>
  </si>
  <si>
    <t>5% Grp 2-3</t>
  </si>
  <si>
    <t>25% Grp 2-3</t>
  </si>
  <si>
    <t>50% Grp 2-3</t>
  </si>
  <si>
    <t>75% Grp 2-3</t>
  </si>
  <si>
    <t>100% Grp 2-3</t>
  </si>
  <si>
    <t>100% Grp 1-2</t>
  </si>
  <si>
    <t>25% Grp2</t>
  </si>
  <si>
    <t>50% Grp2</t>
  </si>
  <si>
    <t>75% Grp2</t>
  </si>
  <si>
    <t>100% Grp2</t>
  </si>
  <si>
    <r>
      <rPr>
        <b/>
        <u/>
        <sz val="11"/>
        <color theme="0"/>
        <rFont val="Calibri"/>
        <family val="2"/>
        <scheme val="minor"/>
      </rPr>
      <t>Calc Sheet Update:</t>
    </r>
    <r>
      <rPr>
        <sz val="11"/>
        <color theme="0"/>
        <rFont val="Calibri"/>
        <family val="2"/>
        <scheme val="minor"/>
      </rPr>
      <t xml:space="preserve"> 04/28/20 (SKC)</t>
    </r>
  </si>
  <si>
    <r>
      <rPr>
        <b/>
        <u/>
        <sz val="11"/>
        <color theme="0"/>
        <rFont val="Calibri"/>
        <family val="2"/>
        <scheme val="minor"/>
      </rPr>
      <t>FAST Analysis:</t>
    </r>
    <r>
      <rPr>
        <sz val="11"/>
        <color theme="0"/>
        <rFont val="Calibri"/>
        <family val="2"/>
        <scheme val="minor"/>
      </rPr>
      <t xml:space="preserve"> M. Crouch (original set); S. Colley (5% set); S. Colley (100% Grp1-2 set)</t>
    </r>
  </si>
  <si>
    <r>
      <rPr>
        <b/>
        <u/>
        <sz val="11"/>
        <color theme="0"/>
        <rFont val="Calibri"/>
        <family val="2"/>
        <scheme val="minor"/>
      </rPr>
      <t>FAST Run Date:</t>
    </r>
    <r>
      <rPr>
        <sz val="11"/>
        <color theme="0"/>
        <rFont val="Calibri"/>
        <family val="2"/>
        <scheme val="minor"/>
      </rPr>
      <t xml:space="preserve"> Unknown (original set); 04/23/20 (5% set); 04/28 (100% Grp 1-2 set)</t>
    </r>
  </si>
  <si>
    <t>25% Grp 1-2</t>
  </si>
  <si>
    <r>
      <t xml:space="preserve">Damage Reduced, </t>
    </r>
    <r>
      <rPr>
        <b/>
        <u/>
        <sz val="11"/>
        <color theme="2" tint="-0.249977111117893"/>
        <rFont val="Calibri"/>
        <family val="2"/>
        <scheme val="minor"/>
      </rPr>
      <t>Group 1-2 ONLY</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</si>
</sst>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0.0"/>
    <numFmt numFmtId="165" formatCode="&quot;$&quot;#,##0"/>
    <numFmt numFmtId="166" formatCode="&quot;$&quot;#,##0.00"/>
  </numFmts>
  <fonts count="24" x14ac:knownFonts="1">
    <font>
      <sz val="11"/>
      <color theme="1"/>
      <name val="Calibri"/>
      <family val="2"/>
      <scheme val="minor"/>
    </font>
    <font>
      <b/>
      <sz val="11"/>
      <color theme="1"/>
      <name val="Calibri"/>
      <family val="2"/>
      <scheme val="minor"/>
    </font>
    <font>
      <b/>
      <sz val="14"/>
      <color theme="1"/>
      <name val="Calibri"/>
      <family val="2"/>
      <scheme val="minor"/>
    </font>
    <font>
      <b/>
      <u/>
      <sz val="11"/>
      <color theme="1"/>
      <name val="Calibri"/>
      <family val="2"/>
      <scheme val="minor"/>
    </font>
    <font>
      <sz val="11"/>
      <color theme="1"/>
      <name val="Calibri"/>
      <family val="2"/>
      <scheme val="minor"/>
    </font>
    <font>
      <sz val="11"/>
      <color rgb="FFFF0000"/>
      <name val="Calibri"/>
      <family val="2"/>
      <scheme val="minor"/>
    </font>
    <font>
      <sz val="11"/>
      <color rgb="FF0070C0"/>
      <name val="Calibri"/>
      <family val="2"/>
      <scheme val="minor"/>
    </font>
    <font>
      <b/>
      <sz val="11"/>
      <color rgb="FF0070C0"/>
      <name val="Calibri"/>
      <family val="2"/>
      <scheme val="minor"/>
    </font>
    <font>
      <b/>
      <sz val="11"/>
      <color rgb="FFFF0000"/>
      <name val="Calibri"/>
      <family val="2"/>
      <scheme val="minor"/>
    </font>
    <font>
      <i/>
      <sz val="11"/>
      <color theme="1"/>
      <name val="Calibri"/>
      <family val="2"/>
      <scheme val="minor"/>
    </font>
    <font>
      <sz val="11"/>
      <color theme="0"/>
      <name val="Calibri"/>
      <family val="2"/>
      <scheme val="minor"/>
    </font>
    <font>
      <b/>
      <u/>
      <sz val="11"/>
      <color theme="0"/>
      <name val="Calibri"/>
      <family val="2"/>
      <scheme val="minor"/>
    </font>
    <font>
      <sz val="11"/>
      <color theme="7" tint="-0.249977111117893"/>
      <name val="Calibri"/>
      <family val="2"/>
      <scheme val="minor"/>
    </font>
    <font>
      <sz val="11"/>
      <name val="Calibri"/>
      <family val="2"/>
      <scheme val="minor"/>
    </font>
    <font>
      <i/>
      <sz val="11"/>
      <name val="Calibri"/>
      <family val="2"/>
      <scheme val="minor"/>
    </font>
    <font>
      <b/>
      <sz val="16"/>
      <color theme="1"/>
      <name val="Calibri"/>
      <family val="2"/>
      <scheme val="minor"/>
    </font>
    <font>
      <b/>
      <sz val="11"/>
      <name val="Calibri"/>
      <family val="2"/>
      <scheme val="minor"/>
    </font>
    <font>
      <sz val="11"/>
      <color theme="4" tint="-0.249977111117893"/>
      <name val="Calibri"/>
      <family val="2"/>
      <scheme val="minor"/>
    </font>
    <font>
      <b/>
      <sz val="11"/>
      <color theme="4" tint="-0.249977111117893"/>
      <name val="Calibri"/>
      <family val="2"/>
      <scheme val="minor"/>
    </font>
    <font>
      <sz val="11"/>
      <color theme="1"/>
      <name val="Arial"/>
      <family val="2"/>
    </font>
    <font>
      <b/>
      <u/>
      <sz val="11"/>
      <color rgb="FF0070C0"/>
      <name val="Calibri"/>
      <family val="2"/>
      <scheme val="minor"/>
    </font>
    <font>
      <sz val="11"/>
      <color theme="2" tint="-0.249977111117893"/>
      <name val="Calibri"/>
      <family val="2"/>
      <scheme val="minor"/>
    </font>
    <font>
      <b/>
      <sz val="11"/>
      <color theme="2" tint="-0.249977111117893"/>
      <name val="Calibri"/>
      <family val="2"/>
      <scheme val="minor"/>
    </font>
    <font>
      <b/>
      <u/>
      <sz val="11"/>
      <color theme="2" tint="-0.249977111117893"/>
      <name val="Calibri"/>
      <family val="2"/>
      <scheme val="minor"/>
    </font>
  </fonts>
  <fills count="13">
    <fill>
      <patternFill patternType="none"/>
    </fill>
    <fill>
      <patternFill patternType="gray125"/>
    </fill>
    <fill>
      <patternFill patternType="solid">
        <fgColor theme="4" tint="0.39997558519241921"/>
        <bgColor indexed="64"/>
      </patternFill>
    </fill>
    <fill>
      <patternFill patternType="solid">
        <fgColor theme="5" tint="-0.249977111117893"/>
        <bgColor indexed="64"/>
      </patternFill>
    </fill>
    <fill>
      <patternFill patternType="solid">
        <fgColor theme="7" tint="0.39997558519241921"/>
        <bgColor indexed="64"/>
      </patternFill>
    </fill>
    <fill>
      <patternFill patternType="solid">
        <fgColor theme="9" tint="0.39997558519241921"/>
        <bgColor indexed="64"/>
      </patternFill>
    </fill>
    <fill>
      <patternFill patternType="solid">
        <fgColor theme="3" tint="0.39997558519241921"/>
        <bgColor indexed="64"/>
      </patternFill>
    </fill>
    <fill>
      <patternFill patternType="solid">
        <fgColor rgb="FFFFFF00"/>
        <bgColor indexed="64"/>
      </patternFill>
    </fill>
    <fill>
      <patternFill patternType="solid">
        <fgColor rgb="FFFFC000"/>
        <bgColor indexed="64"/>
      </patternFill>
    </fill>
    <fill>
      <patternFill patternType="solid">
        <fgColor theme="0" tint="-0.14999847407452621"/>
        <bgColor indexed="64"/>
      </patternFill>
    </fill>
    <fill>
      <patternFill patternType="solid">
        <fgColor theme="7" tint="0.59999389629810485"/>
        <bgColor indexed="64"/>
      </patternFill>
    </fill>
    <fill>
      <patternFill patternType="solid">
        <fgColor rgb="FF00B0F0"/>
        <bgColor indexed="64"/>
      </patternFill>
    </fill>
    <fill>
      <patternFill patternType="solid">
        <fgColor theme="1" tint="0.249977111117893"/>
        <bgColor indexed="64"/>
      </patternFill>
    </fill>
  </fills>
  <borders count="24">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style="thin">
        <color indexed="64"/>
      </right>
      <top style="medium">
        <color indexed="64"/>
      </top>
      <bottom/>
      <diagonal/>
    </border>
    <border>
      <left/>
      <right style="thin">
        <color indexed="64"/>
      </right>
      <top/>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indexed="64"/>
      </top>
      <bottom style="thin">
        <color indexed="64"/>
      </bottom>
      <diagonal/>
    </border>
    <border>
      <left/>
      <right/>
      <top style="medium">
        <color indexed="64"/>
      </top>
      <bottom style="thin">
        <color indexed="64"/>
      </bottom>
      <diagonal/>
    </border>
  </borders>
  <cellStyleXfs count="2">
    <xf numFmtId="0" fontId="0" fillId="0" borderId="0"/>
    <xf numFmtId="43" fontId="4" fillId="0" borderId="0" applyFont="0" applyFill="0" applyBorder="0" applyAlignment="0" applyProtection="0"/>
  </cellStyleXfs>
  <cellXfs count="226">
    <xf numFmtId="0" fontId="0" fillId="0" borderId="0" xfId="0"/>
    <xf numFmtId="0" fontId="0" fillId="0" borderId="0" xfId="0" applyAlignment="1">
      <alignment horizontal="center" vertical="center"/>
    </xf>
    <xf numFmtId="0" fontId="1" fillId="0" borderId="0" xfId="0" applyFont="1" applyAlignment="1">
      <alignment horizontal="center"/>
    </xf>
    <xf numFmtId="0" fontId="1" fillId="0" borderId="0" xfId="0" applyFont="1"/>
    <xf numFmtId="9" fontId="0" fillId="0" borderId="0" xfId="0" applyNumberFormat="1"/>
    <xf numFmtId="10" fontId="0" fillId="0" borderId="0" xfId="0" applyNumberFormat="1"/>
    <xf numFmtId="4" fontId="0" fillId="0" borderId="0" xfId="0" applyNumberFormat="1"/>
    <xf numFmtId="15" fontId="0" fillId="0" borderId="0" xfId="0" applyNumberFormat="1"/>
    <xf numFmtId="2" fontId="0" fillId="0" borderId="0" xfId="0" applyNumberFormat="1"/>
    <xf numFmtId="1" fontId="0" fillId="0" borderId="0" xfId="0" applyNumberFormat="1"/>
    <xf numFmtId="0" fontId="0" fillId="0" borderId="0" xfId="0" applyAlignment="1">
      <alignment vertical="center" wrapText="1"/>
    </xf>
    <xf numFmtId="0" fontId="0" fillId="0" borderId="0" xfId="0" applyAlignment="1">
      <alignment horizontal="center"/>
    </xf>
    <xf numFmtId="0" fontId="1" fillId="0" borderId="1" xfId="0" applyFont="1" applyBorder="1" applyAlignment="1">
      <alignment horizontal="center"/>
    </xf>
    <xf numFmtId="0" fontId="1" fillId="0" borderId="1" xfId="0" applyFont="1" applyBorder="1"/>
    <xf numFmtId="0" fontId="2" fillId="0" borderId="0" xfId="0" applyFont="1"/>
    <xf numFmtId="0" fontId="0" fillId="0" borderId="0" xfId="0" applyAlignment="1">
      <alignment horizontal="center" vertical="center" wrapText="1"/>
    </xf>
    <xf numFmtId="2" fontId="0" fillId="0" borderId="0" xfId="0" applyNumberFormat="1" applyAlignment="1">
      <alignment horizontal="center"/>
    </xf>
    <xf numFmtId="1" fontId="0" fillId="0" borderId="0" xfId="0" applyNumberFormat="1" applyAlignment="1">
      <alignment horizontal="center"/>
    </xf>
    <xf numFmtId="0" fontId="3" fillId="0" borderId="0" xfId="0" applyFont="1"/>
    <xf numFmtId="1" fontId="0" fillId="0" borderId="2" xfId="0" applyNumberFormat="1" applyBorder="1" applyAlignment="1">
      <alignment horizontal="center"/>
    </xf>
    <xf numFmtId="0" fontId="1" fillId="0" borderId="3" xfId="0" applyFont="1" applyBorder="1" applyAlignment="1">
      <alignment horizontal="center"/>
    </xf>
    <xf numFmtId="0" fontId="1" fillId="0" borderId="4" xfId="0" applyFont="1" applyBorder="1" applyAlignment="1">
      <alignment horizontal="center"/>
    </xf>
    <xf numFmtId="0" fontId="1" fillId="0" borderId="5" xfId="0" applyFont="1" applyBorder="1" applyAlignment="1">
      <alignment horizontal="center"/>
    </xf>
    <xf numFmtId="3" fontId="0" fillId="0" borderId="0" xfId="0" applyNumberFormat="1" applyAlignment="1">
      <alignment horizontal="center"/>
    </xf>
    <xf numFmtId="0" fontId="1" fillId="0" borderId="0" xfId="0" applyFont="1" applyFill="1" applyBorder="1" applyAlignment="1">
      <alignment horizontal="center"/>
    </xf>
    <xf numFmtId="0" fontId="1" fillId="2" borderId="0" xfId="0" applyFont="1" applyFill="1"/>
    <xf numFmtId="0" fontId="0" fillId="2" borderId="0" xfId="0" applyFill="1"/>
    <xf numFmtId="0" fontId="1" fillId="3" borderId="0" xfId="0" applyFont="1" applyFill="1"/>
    <xf numFmtId="0" fontId="0" fillId="3" borderId="0" xfId="0" applyFill="1"/>
    <xf numFmtId="0" fontId="1" fillId="4" borderId="0" xfId="0" applyFont="1" applyFill="1"/>
    <xf numFmtId="0" fontId="0" fillId="4" borderId="0" xfId="0" applyFill="1"/>
    <xf numFmtId="0" fontId="1" fillId="5" borderId="0" xfId="0" applyFont="1" applyFill="1"/>
    <xf numFmtId="0" fontId="0" fillId="5" borderId="0" xfId="0" applyFill="1"/>
    <xf numFmtId="0" fontId="1" fillId="6" borderId="0" xfId="0" applyFont="1" applyFill="1"/>
    <xf numFmtId="0" fontId="0" fillId="6" borderId="0" xfId="0" applyFill="1"/>
    <xf numFmtId="0" fontId="1" fillId="0" borderId="0" xfId="0" applyFont="1" applyFill="1"/>
    <xf numFmtId="0" fontId="0" fillId="0" borderId="0" xfId="0" applyFill="1"/>
    <xf numFmtId="0" fontId="0" fillId="0" borderId="0" xfId="0" applyBorder="1"/>
    <xf numFmtId="0" fontId="1" fillId="0" borderId="0" xfId="0" applyFont="1" applyBorder="1" applyAlignment="1">
      <alignment horizontal="center"/>
    </xf>
    <xf numFmtId="3" fontId="0" fillId="0" borderId="0" xfId="0" applyNumberFormat="1" applyBorder="1" applyAlignment="1">
      <alignment horizontal="center"/>
    </xf>
    <xf numFmtId="2" fontId="0" fillId="0" borderId="2" xfId="0" applyNumberFormat="1" applyBorder="1" applyAlignment="1">
      <alignment horizontal="center"/>
    </xf>
    <xf numFmtId="164" fontId="0" fillId="0" borderId="0" xfId="0" applyNumberFormat="1"/>
    <xf numFmtId="0" fontId="0" fillId="0" borderId="0" xfId="0" applyAlignment="1"/>
    <xf numFmtId="0" fontId="0" fillId="0" borderId="6" xfId="0" applyBorder="1"/>
    <xf numFmtId="0" fontId="0" fillId="0" borderId="1" xfId="0" applyBorder="1"/>
    <xf numFmtId="0" fontId="1" fillId="7" borderId="6" xfId="0" applyFont="1" applyFill="1" applyBorder="1" applyAlignment="1">
      <alignment horizontal="center"/>
    </xf>
    <xf numFmtId="165" fontId="0" fillId="0" borderId="6" xfId="0" applyNumberFormat="1" applyBorder="1"/>
    <xf numFmtId="165" fontId="0" fillId="0" borderId="0" xfId="0" applyNumberFormat="1" applyBorder="1" applyAlignment="1">
      <alignment horizontal="center"/>
    </xf>
    <xf numFmtId="165" fontId="0" fillId="0" borderId="0" xfId="0" applyNumberFormat="1" applyBorder="1"/>
    <xf numFmtId="165" fontId="0" fillId="0" borderId="0" xfId="1" applyNumberFormat="1" applyFont="1" applyBorder="1"/>
    <xf numFmtId="165" fontId="0" fillId="0" borderId="0" xfId="1" applyNumberFormat="1" applyFont="1" applyBorder="1" applyAlignment="1"/>
    <xf numFmtId="165" fontId="0" fillId="0" borderId="0" xfId="0" applyNumberFormat="1" applyBorder="1" applyAlignment="1"/>
    <xf numFmtId="165" fontId="0" fillId="0" borderId="1" xfId="0" applyNumberFormat="1" applyBorder="1"/>
    <xf numFmtId="165" fontId="0" fillId="0" borderId="1" xfId="0" applyNumberFormat="1" applyBorder="1" applyAlignment="1"/>
    <xf numFmtId="165" fontId="1" fillId="0" borderId="6" xfId="0" applyNumberFormat="1" applyFont="1" applyFill="1" applyBorder="1" applyAlignment="1">
      <alignment horizontal="center"/>
    </xf>
    <xf numFmtId="165" fontId="1" fillId="0" borderId="6" xfId="0" applyNumberFormat="1" applyFont="1" applyBorder="1" applyAlignment="1">
      <alignment horizontal="center"/>
    </xf>
    <xf numFmtId="165" fontId="1" fillId="0" borderId="6" xfId="0" applyNumberFormat="1" applyFont="1" applyBorder="1" applyAlignment="1"/>
    <xf numFmtId="165" fontId="0" fillId="0" borderId="6" xfId="0" applyNumberFormat="1" applyBorder="1" applyAlignment="1"/>
    <xf numFmtId="0" fontId="0" fillId="0" borderId="0" xfId="0" applyBorder="1" applyAlignment="1">
      <alignment horizontal="center"/>
    </xf>
    <xf numFmtId="0" fontId="0" fillId="0" borderId="3" xfId="0" applyBorder="1"/>
    <xf numFmtId="0" fontId="1" fillId="7" borderId="3" xfId="0" applyFont="1" applyFill="1" applyBorder="1" applyAlignment="1">
      <alignment horizontal="center"/>
    </xf>
    <xf numFmtId="165" fontId="0" fillId="0" borderId="6" xfId="0" applyNumberFormat="1" applyFont="1" applyBorder="1" applyAlignment="1">
      <alignment horizontal="center"/>
    </xf>
    <xf numFmtId="165" fontId="0" fillId="0" borderId="0" xfId="0" applyNumberFormat="1" applyFont="1" applyBorder="1" applyAlignment="1">
      <alignment horizontal="center"/>
    </xf>
    <xf numFmtId="165" fontId="0" fillId="0" borderId="0" xfId="0" applyNumberFormat="1" applyFont="1" applyBorder="1"/>
    <xf numFmtId="165" fontId="0" fillId="0" borderId="1" xfId="0" applyNumberFormat="1" applyFont="1" applyBorder="1"/>
    <xf numFmtId="166" fontId="0" fillId="0" borderId="0" xfId="1" applyNumberFormat="1" applyFont="1" applyBorder="1"/>
    <xf numFmtId="0" fontId="0" fillId="0" borderId="8" xfId="0" applyBorder="1"/>
    <xf numFmtId="0" fontId="0" fillId="0" borderId="10" xfId="0" applyBorder="1" applyAlignment="1">
      <alignment horizontal="center"/>
    </xf>
    <xf numFmtId="0" fontId="0" fillId="0" borderId="12" xfId="0" applyBorder="1" applyAlignment="1">
      <alignment horizontal="center"/>
    </xf>
    <xf numFmtId="165" fontId="0" fillId="0" borderId="3" xfId="0" applyNumberFormat="1" applyBorder="1"/>
    <xf numFmtId="165" fontId="0" fillId="0" borderId="3" xfId="0" applyNumberFormat="1" applyBorder="1" applyAlignment="1"/>
    <xf numFmtId="0" fontId="1" fillId="0" borderId="7" xfId="0" applyFont="1" applyBorder="1" applyAlignment="1">
      <alignment horizontal="center" wrapText="1"/>
    </xf>
    <xf numFmtId="0" fontId="1" fillId="0" borderId="8" xfId="0" applyFont="1" applyFill="1" applyBorder="1" applyAlignment="1">
      <alignment horizontal="center"/>
    </xf>
    <xf numFmtId="0" fontId="1" fillId="0" borderId="8" xfId="0" applyFont="1" applyBorder="1" applyAlignment="1">
      <alignment horizontal="center"/>
    </xf>
    <xf numFmtId="0" fontId="0" fillId="0" borderId="8" xfId="0" applyFont="1" applyBorder="1" applyAlignment="1">
      <alignment horizontal="center"/>
    </xf>
    <xf numFmtId="0" fontId="1" fillId="0" borderId="8" xfId="0" applyFont="1" applyBorder="1" applyAlignment="1">
      <alignment horizontal="center" wrapText="1"/>
    </xf>
    <xf numFmtId="0" fontId="0" fillId="0" borderId="14" xfId="0" applyBorder="1" applyAlignment="1">
      <alignment horizontal="center"/>
    </xf>
    <xf numFmtId="0" fontId="0" fillId="0" borderId="16" xfId="0" applyBorder="1" applyAlignment="1">
      <alignment horizontal="center"/>
    </xf>
    <xf numFmtId="165" fontId="0" fillId="0" borderId="3" xfId="0" applyNumberFormat="1" applyFont="1" applyBorder="1"/>
    <xf numFmtId="0" fontId="6" fillId="0" borderId="7" xfId="0" applyFont="1" applyBorder="1" applyAlignment="1">
      <alignment horizontal="center"/>
    </xf>
    <xf numFmtId="0" fontId="6" fillId="0" borderId="8" xfId="0" applyFont="1" applyBorder="1"/>
    <xf numFmtId="0" fontId="7" fillId="7" borderId="8" xfId="0" applyFont="1" applyFill="1" applyBorder="1" applyAlignment="1">
      <alignment horizontal="center"/>
    </xf>
    <xf numFmtId="165" fontId="7" fillId="0" borderId="8" xfId="0" applyNumberFormat="1" applyFont="1" applyBorder="1" applyAlignment="1">
      <alignment horizontal="center"/>
    </xf>
    <xf numFmtId="165" fontId="6" fillId="0" borderId="8" xfId="0" applyNumberFormat="1" applyFont="1" applyBorder="1" applyAlignment="1">
      <alignment horizontal="center"/>
    </xf>
    <xf numFmtId="165" fontId="6" fillId="0" borderId="8" xfId="0" applyNumberFormat="1" applyFont="1" applyBorder="1"/>
    <xf numFmtId="165" fontId="7" fillId="0" borderId="8" xfId="0" applyNumberFormat="1" applyFont="1" applyFill="1" applyBorder="1" applyAlignment="1">
      <alignment horizontal="center"/>
    </xf>
    <xf numFmtId="0" fontId="6" fillId="0" borderId="10" xfId="0" applyFont="1" applyBorder="1" applyAlignment="1">
      <alignment horizontal="center"/>
    </xf>
    <xf numFmtId="0" fontId="6" fillId="0" borderId="0" xfId="0" applyFont="1" applyBorder="1"/>
    <xf numFmtId="0" fontId="7" fillId="0" borderId="0" xfId="0" applyFont="1" applyBorder="1" applyAlignment="1">
      <alignment horizontal="center"/>
    </xf>
    <xf numFmtId="165" fontId="6" fillId="0" borderId="0" xfId="0" applyNumberFormat="1" applyFont="1" applyBorder="1" applyAlignment="1">
      <alignment horizontal="center"/>
    </xf>
    <xf numFmtId="165" fontId="6" fillId="0" borderId="0" xfId="0" applyNumberFormat="1" applyFont="1" applyBorder="1"/>
    <xf numFmtId="0" fontId="7" fillId="0" borderId="5" xfId="0" applyFont="1" applyBorder="1" applyAlignment="1">
      <alignment horizontal="center"/>
    </xf>
    <xf numFmtId="0" fontId="6" fillId="0" borderId="12" xfId="0" applyFont="1" applyBorder="1" applyAlignment="1">
      <alignment horizontal="center"/>
    </xf>
    <xf numFmtId="0" fontId="6" fillId="0" borderId="3" xfId="0" applyFont="1" applyBorder="1"/>
    <xf numFmtId="165" fontId="6" fillId="0" borderId="3" xfId="0" applyNumberFormat="1" applyFont="1" applyBorder="1"/>
    <xf numFmtId="165" fontId="6" fillId="0" borderId="3" xfId="0" applyNumberFormat="1" applyFont="1" applyBorder="1" applyAlignment="1"/>
    <xf numFmtId="165" fontId="1" fillId="0" borderId="0" xfId="0" applyNumberFormat="1" applyFont="1" applyFill="1" applyBorder="1" applyAlignment="1">
      <alignment horizontal="center"/>
    </xf>
    <xf numFmtId="166" fontId="0" fillId="0" borderId="0" xfId="0" applyNumberFormat="1" applyBorder="1"/>
    <xf numFmtId="166" fontId="1" fillId="0" borderId="0" xfId="0" applyNumberFormat="1" applyFont="1" applyBorder="1" applyAlignment="1">
      <alignment horizontal="center"/>
    </xf>
    <xf numFmtId="166" fontId="6" fillId="0" borderId="0" xfId="1" applyNumberFormat="1" applyFont="1" applyBorder="1"/>
    <xf numFmtId="166" fontId="6" fillId="0" borderId="0" xfId="0" applyNumberFormat="1" applyFont="1" applyBorder="1"/>
    <xf numFmtId="165" fontId="0" fillId="8" borderId="8" xfId="1" applyNumberFormat="1" applyFont="1" applyFill="1" applyBorder="1"/>
    <xf numFmtId="165" fontId="0" fillId="8" borderId="0" xfId="1" applyNumberFormat="1" applyFont="1" applyFill="1" applyBorder="1"/>
    <xf numFmtId="0" fontId="8" fillId="0" borderId="9" xfId="0" applyFont="1" applyBorder="1" applyAlignment="1">
      <alignment horizontal="center" wrapText="1"/>
    </xf>
    <xf numFmtId="166" fontId="5" fillId="0" borderId="11" xfId="1" applyNumberFormat="1" applyFont="1" applyBorder="1" applyAlignment="1">
      <alignment horizontal="center"/>
    </xf>
    <xf numFmtId="166" fontId="5" fillId="0" borderId="11" xfId="0" applyNumberFormat="1" applyFont="1" applyBorder="1" applyAlignment="1">
      <alignment horizontal="center"/>
    </xf>
    <xf numFmtId="166" fontId="5" fillId="0" borderId="15" xfId="0" applyNumberFormat="1" applyFont="1" applyBorder="1" applyAlignment="1">
      <alignment horizontal="center"/>
    </xf>
    <xf numFmtId="166" fontId="8" fillId="0" borderId="17" xfId="0" applyNumberFormat="1" applyFont="1" applyBorder="1" applyAlignment="1">
      <alignment horizontal="center"/>
    </xf>
    <xf numFmtId="166" fontId="5" fillId="0" borderId="17" xfId="0" applyNumberFormat="1" applyFont="1" applyBorder="1" applyAlignment="1">
      <alignment horizontal="center"/>
    </xf>
    <xf numFmtId="166" fontId="5" fillId="0" borderId="13" xfId="0" applyNumberFormat="1" applyFont="1" applyBorder="1" applyAlignment="1">
      <alignment horizontal="center"/>
    </xf>
    <xf numFmtId="0" fontId="5" fillId="0" borderId="0" xfId="0" applyFont="1" applyAlignment="1">
      <alignment horizontal="center"/>
    </xf>
    <xf numFmtId="166" fontId="5" fillId="0" borderId="21" xfId="0" applyNumberFormat="1" applyFont="1" applyBorder="1" applyAlignment="1">
      <alignment horizontal="center"/>
    </xf>
    <xf numFmtId="0" fontId="9" fillId="0" borderId="0" xfId="0" applyFont="1" applyBorder="1" applyAlignment="1">
      <alignment horizontal="center" wrapText="1"/>
    </xf>
    <xf numFmtId="0" fontId="1" fillId="0" borderId="0" xfId="0" applyFont="1" applyBorder="1" applyAlignment="1">
      <alignment horizontal="center" wrapText="1"/>
    </xf>
    <xf numFmtId="165" fontId="0" fillId="0" borderId="0" xfId="0" applyNumberFormat="1" applyAlignment="1">
      <alignment horizontal="center"/>
    </xf>
    <xf numFmtId="166" fontId="0" fillId="0" borderId="0" xfId="0" applyNumberFormat="1" applyAlignment="1">
      <alignment horizontal="center"/>
    </xf>
    <xf numFmtId="0" fontId="1" fillId="9" borderId="22" xfId="0" applyFont="1" applyFill="1" applyBorder="1"/>
    <xf numFmtId="0" fontId="1" fillId="9" borderId="22" xfId="0" applyFont="1" applyFill="1" applyBorder="1" applyAlignment="1">
      <alignment horizontal="center" wrapText="1"/>
    </xf>
    <xf numFmtId="165" fontId="0" fillId="0" borderId="22" xfId="0" applyNumberFormat="1" applyBorder="1" applyAlignment="1">
      <alignment horizontal="center"/>
    </xf>
    <xf numFmtId="166" fontId="0" fillId="0" borderId="22" xfId="0" applyNumberFormat="1" applyBorder="1" applyAlignment="1">
      <alignment horizontal="center"/>
    </xf>
    <xf numFmtId="0" fontId="1" fillId="0" borderId="22" xfId="0" applyFont="1" applyBorder="1"/>
    <xf numFmtId="1" fontId="0" fillId="0" borderId="22" xfId="0" applyNumberFormat="1" applyBorder="1" applyAlignment="1">
      <alignment horizontal="center"/>
    </xf>
    <xf numFmtId="0" fontId="9" fillId="0" borderId="0" xfId="0" applyFont="1" applyBorder="1" applyAlignment="1">
      <alignment horizontal="center" wrapText="1"/>
    </xf>
    <xf numFmtId="0" fontId="1" fillId="0" borderId="0" xfId="0" applyFont="1" applyBorder="1" applyAlignment="1">
      <alignment horizontal="center" wrapText="1"/>
    </xf>
    <xf numFmtId="165" fontId="0" fillId="10" borderId="0" xfId="0" applyNumberFormat="1" applyFill="1" applyBorder="1"/>
    <xf numFmtId="0" fontId="10" fillId="12" borderId="0" xfId="0" applyFont="1" applyFill="1" applyAlignment="1">
      <alignment horizontal="left"/>
    </xf>
    <xf numFmtId="0" fontId="10" fillId="12" borderId="0" xfId="0" applyFont="1" applyFill="1"/>
    <xf numFmtId="9" fontId="1" fillId="7" borderId="6" xfId="0" applyNumberFormat="1" applyFont="1" applyFill="1" applyBorder="1" applyAlignment="1">
      <alignment horizontal="center"/>
    </xf>
    <xf numFmtId="165" fontId="0" fillId="0" borderId="0" xfId="0" applyNumberFormat="1"/>
    <xf numFmtId="0" fontId="9" fillId="0" borderId="0" xfId="0" applyFont="1" applyAlignment="1">
      <alignment horizontal="center" wrapText="1"/>
    </xf>
    <xf numFmtId="0" fontId="14" fillId="0" borderId="0" xfId="0" applyFont="1"/>
    <xf numFmtId="0" fontId="1" fillId="0" borderId="0" xfId="0" applyFont="1" applyFill="1" applyBorder="1" applyAlignment="1">
      <alignment horizontal="left"/>
    </xf>
    <xf numFmtId="164" fontId="0" fillId="0" borderId="0" xfId="0" applyNumberFormat="1" applyFill="1" applyAlignment="1">
      <alignment horizontal="center"/>
    </xf>
    <xf numFmtId="165" fontId="5" fillId="0" borderId="0" xfId="0" applyNumberFormat="1" applyFont="1" applyAlignment="1">
      <alignment horizontal="center"/>
    </xf>
    <xf numFmtId="0" fontId="1" fillId="11" borderId="3" xfId="0" applyFont="1" applyFill="1" applyBorder="1" applyAlignment="1">
      <alignment horizontal="center"/>
    </xf>
    <xf numFmtId="165" fontId="13" fillId="0" borderId="0" xfId="0" applyNumberFormat="1" applyFont="1" applyAlignment="1">
      <alignment horizontal="center"/>
    </xf>
    <xf numFmtId="165" fontId="13" fillId="0" borderId="0" xfId="0" applyNumberFormat="1" applyFont="1" applyBorder="1" applyAlignment="1">
      <alignment horizontal="center"/>
    </xf>
    <xf numFmtId="9" fontId="1" fillId="11" borderId="6" xfId="0" applyNumberFormat="1" applyFont="1" applyFill="1" applyBorder="1" applyAlignment="1">
      <alignment horizontal="center"/>
    </xf>
    <xf numFmtId="165" fontId="12" fillId="0" borderId="0" xfId="0" applyNumberFormat="1" applyFont="1" applyAlignment="1">
      <alignment horizontal="center"/>
    </xf>
    <xf numFmtId="0" fontId="1" fillId="0" borderId="10" xfId="0" applyFont="1" applyBorder="1" applyAlignment="1">
      <alignment horizontal="center" wrapText="1"/>
    </xf>
    <xf numFmtId="165" fontId="1" fillId="0" borderId="0" xfId="0" applyNumberFormat="1" applyFont="1" applyBorder="1" applyAlignment="1">
      <alignment horizontal="center"/>
    </xf>
    <xf numFmtId="0" fontId="1" fillId="7" borderId="23" xfId="0" applyFont="1" applyFill="1" applyBorder="1" applyAlignment="1">
      <alignment horizontal="left"/>
    </xf>
    <xf numFmtId="1" fontId="13" fillId="0" borderId="22" xfId="0" applyNumberFormat="1" applyFont="1" applyBorder="1" applyAlignment="1">
      <alignment horizontal="center"/>
    </xf>
    <xf numFmtId="165" fontId="13" fillId="0" borderId="0" xfId="0" applyNumberFormat="1" applyFont="1" applyBorder="1"/>
    <xf numFmtId="165" fontId="13" fillId="0" borderId="1" xfId="0" applyNumberFormat="1" applyFont="1" applyBorder="1"/>
    <xf numFmtId="165" fontId="16" fillId="0" borderId="6" xfId="0" applyNumberFormat="1" applyFont="1" applyBorder="1" applyAlignment="1">
      <alignment horizontal="center"/>
    </xf>
    <xf numFmtId="0" fontId="13" fillId="0" borderId="0" xfId="0" applyFont="1"/>
    <xf numFmtId="0" fontId="17" fillId="0" borderId="7" xfId="0" applyFont="1" applyBorder="1" applyAlignment="1">
      <alignment horizontal="center"/>
    </xf>
    <xf numFmtId="0" fontId="17" fillId="0" borderId="8" xfId="0" applyFont="1" applyBorder="1"/>
    <xf numFmtId="0" fontId="18" fillId="11" borderId="8" xfId="0" applyFont="1" applyFill="1" applyBorder="1" applyAlignment="1">
      <alignment horizontal="center"/>
    </xf>
    <xf numFmtId="165" fontId="18" fillId="0" borderId="8" xfId="0" applyNumberFormat="1" applyFont="1" applyBorder="1" applyAlignment="1">
      <alignment horizontal="center"/>
    </xf>
    <xf numFmtId="165" fontId="17" fillId="0" borderId="8" xfId="0" applyNumberFormat="1" applyFont="1" applyBorder="1" applyAlignment="1">
      <alignment horizontal="center"/>
    </xf>
    <xf numFmtId="165" fontId="17" fillId="0" borderId="8" xfId="0" applyNumberFormat="1" applyFont="1" applyBorder="1"/>
    <xf numFmtId="165" fontId="18" fillId="0" borderId="8" xfId="0" applyNumberFormat="1" applyFont="1" applyFill="1" applyBorder="1" applyAlignment="1">
      <alignment horizontal="center"/>
    </xf>
    <xf numFmtId="165" fontId="17" fillId="8" borderId="8" xfId="1" applyNumberFormat="1" applyFont="1" applyFill="1" applyBorder="1"/>
    <xf numFmtId="165" fontId="17" fillId="0" borderId="8" xfId="0" applyNumberFormat="1" applyFont="1" applyBorder="1" applyAlignment="1"/>
    <xf numFmtId="0" fontId="17" fillId="0" borderId="10" xfId="0" applyFont="1" applyBorder="1" applyAlignment="1">
      <alignment horizontal="center"/>
    </xf>
    <xf numFmtId="0" fontId="17" fillId="0" borderId="0" xfId="0" applyFont="1" applyBorder="1"/>
    <xf numFmtId="0" fontId="18" fillId="0" borderId="0" xfId="0" applyFont="1" applyBorder="1" applyAlignment="1">
      <alignment horizontal="center"/>
    </xf>
    <xf numFmtId="165" fontId="17" fillId="0" borderId="0" xfId="0" applyNumberFormat="1" applyFont="1" applyBorder="1" applyAlignment="1">
      <alignment horizontal="center"/>
    </xf>
    <xf numFmtId="165" fontId="17" fillId="0" borderId="0" xfId="0" applyNumberFormat="1" applyFont="1" applyBorder="1"/>
    <xf numFmtId="165" fontId="17" fillId="0" borderId="0" xfId="1" applyNumberFormat="1" applyFont="1" applyBorder="1"/>
    <xf numFmtId="165" fontId="17" fillId="0" borderId="0" xfId="1" applyNumberFormat="1" applyFont="1" applyBorder="1" applyAlignment="1"/>
    <xf numFmtId="0" fontId="18" fillId="0" borderId="5" xfId="0" applyFont="1" applyBorder="1" applyAlignment="1">
      <alignment horizontal="center"/>
    </xf>
    <xf numFmtId="165" fontId="17" fillId="10" borderId="0" xfId="0" applyNumberFormat="1" applyFont="1" applyFill="1" applyBorder="1"/>
    <xf numFmtId="165" fontId="17" fillId="0" borderId="0" xfId="0" applyNumberFormat="1" applyFont="1" applyBorder="1" applyAlignment="1"/>
    <xf numFmtId="0" fontId="19" fillId="0" borderId="0" xfId="0" applyFont="1"/>
    <xf numFmtId="165" fontId="13" fillId="0" borderId="22" xfId="0" applyNumberFormat="1" applyFont="1" applyBorder="1" applyAlignment="1">
      <alignment horizontal="center"/>
    </xf>
    <xf numFmtId="166" fontId="13" fillId="0" borderId="22" xfId="0" applyNumberFormat="1" applyFont="1" applyBorder="1" applyAlignment="1">
      <alignment horizontal="center"/>
    </xf>
    <xf numFmtId="37" fontId="0" fillId="0" borderId="0" xfId="1" applyNumberFormat="1" applyFont="1" applyBorder="1" applyAlignment="1">
      <alignment horizontal="left"/>
    </xf>
    <xf numFmtId="165" fontId="13" fillId="8" borderId="8" xfId="1" applyNumberFormat="1" applyFont="1" applyFill="1" applyBorder="1"/>
    <xf numFmtId="165" fontId="13" fillId="0" borderId="8" xfId="0" applyNumberFormat="1" applyFont="1" applyBorder="1" applyAlignment="1"/>
    <xf numFmtId="165" fontId="13" fillId="0" borderId="8" xfId="0" applyNumberFormat="1" applyFont="1" applyBorder="1"/>
    <xf numFmtId="165" fontId="13" fillId="0" borderId="0" xfId="1" applyNumberFormat="1" applyFont="1" applyBorder="1"/>
    <xf numFmtId="165" fontId="13" fillId="0" borderId="0" xfId="1" applyNumberFormat="1" applyFont="1" applyBorder="1" applyAlignment="1"/>
    <xf numFmtId="166" fontId="13" fillId="0" borderId="0" xfId="1" applyNumberFormat="1" applyFont="1" applyBorder="1" applyAlignment="1"/>
    <xf numFmtId="165" fontId="13" fillId="10" borderId="0" xfId="0" applyNumberFormat="1" applyFont="1" applyFill="1" applyBorder="1"/>
    <xf numFmtId="165" fontId="13" fillId="0" borderId="0" xfId="0" applyNumberFormat="1" applyFont="1" applyBorder="1" applyAlignment="1"/>
    <xf numFmtId="0" fontId="21" fillId="0" borderId="10" xfId="0" applyFont="1" applyBorder="1" applyAlignment="1">
      <alignment horizontal="center"/>
    </xf>
    <xf numFmtId="0" fontId="21" fillId="0" borderId="0" xfId="0" applyFont="1" applyBorder="1"/>
    <xf numFmtId="165" fontId="21" fillId="0" borderId="0" xfId="0" applyNumberFormat="1" applyFont="1" applyBorder="1"/>
    <xf numFmtId="165" fontId="21" fillId="0" borderId="0" xfId="0" applyNumberFormat="1" applyFont="1" applyBorder="1" applyAlignment="1"/>
    <xf numFmtId="0" fontId="21" fillId="0" borderId="7" xfId="0" applyFont="1" applyBorder="1" applyAlignment="1">
      <alignment horizontal="center"/>
    </xf>
    <xf numFmtId="0" fontId="21" fillId="0" borderId="8" xfId="0" applyFont="1" applyBorder="1"/>
    <xf numFmtId="0" fontId="22" fillId="7" borderId="8" xfId="0" applyFont="1" applyFill="1" applyBorder="1" applyAlignment="1">
      <alignment horizontal="center"/>
    </xf>
    <xf numFmtId="165" fontId="22" fillId="0" borderId="8" xfId="0" applyNumberFormat="1" applyFont="1" applyBorder="1" applyAlignment="1">
      <alignment horizontal="center"/>
    </xf>
    <xf numFmtId="165" fontId="21" fillId="0" borderId="8" xfId="0" applyNumberFormat="1" applyFont="1" applyBorder="1" applyAlignment="1">
      <alignment horizontal="center"/>
    </xf>
    <xf numFmtId="165" fontId="21" fillId="0" borderId="8" xfId="0" applyNumberFormat="1" applyFont="1" applyBorder="1"/>
    <xf numFmtId="165" fontId="22" fillId="0" borderId="8" xfId="0" applyNumberFormat="1" applyFont="1" applyFill="1" applyBorder="1" applyAlignment="1">
      <alignment horizontal="center"/>
    </xf>
    <xf numFmtId="165" fontId="21" fillId="8" borderId="8" xfId="1" applyNumberFormat="1" applyFont="1" applyFill="1" applyBorder="1"/>
    <xf numFmtId="165" fontId="21" fillId="0" borderId="8" xfId="0" applyNumberFormat="1" applyFont="1" applyBorder="1" applyAlignment="1"/>
    <xf numFmtId="0" fontId="22" fillId="0" borderId="0" xfId="0" applyFont="1" applyBorder="1" applyAlignment="1">
      <alignment horizontal="center"/>
    </xf>
    <xf numFmtId="165" fontId="21" fillId="0" borderId="0" xfId="0" applyNumberFormat="1" applyFont="1" applyBorder="1" applyAlignment="1">
      <alignment horizontal="center"/>
    </xf>
    <xf numFmtId="165" fontId="21" fillId="0" borderId="0" xfId="1" applyNumberFormat="1" applyFont="1" applyBorder="1"/>
    <xf numFmtId="165" fontId="21" fillId="0" borderId="0" xfId="1" applyNumberFormat="1" applyFont="1" applyBorder="1" applyAlignment="1"/>
    <xf numFmtId="0" fontId="22" fillId="0" borderId="5" xfId="0" applyFont="1" applyBorder="1" applyAlignment="1">
      <alignment horizontal="center"/>
    </xf>
    <xf numFmtId="166" fontId="21" fillId="0" borderId="0" xfId="1" applyNumberFormat="1" applyFont="1" applyBorder="1" applyAlignment="1"/>
    <xf numFmtId="166" fontId="21" fillId="0" borderId="11" xfId="1" applyNumberFormat="1" applyFont="1" applyBorder="1" applyAlignment="1">
      <alignment horizontal="center"/>
    </xf>
    <xf numFmtId="165" fontId="21" fillId="10" borderId="0" xfId="0" applyNumberFormat="1" applyFont="1" applyFill="1" applyBorder="1"/>
    <xf numFmtId="166" fontId="21" fillId="0" borderId="11" xfId="0" applyNumberFormat="1" applyFont="1" applyBorder="1" applyAlignment="1">
      <alignment horizontal="center"/>
    </xf>
    <xf numFmtId="166" fontId="21" fillId="0" borderId="0" xfId="0" applyNumberFormat="1" applyFont="1" applyBorder="1"/>
    <xf numFmtId="166" fontId="21" fillId="0" borderId="21" xfId="0" applyNumberFormat="1" applyFont="1" applyBorder="1" applyAlignment="1">
      <alignment horizontal="center"/>
    </xf>
    <xf numFmtId="0" fontId="21" fillId="0" borderId="12" xfId="0" applyFont="1" applyBorder="1" applyAlignment="1">
      <alignment horizontal="center"/>
    </xf>
    <xf numFmtId="0" fontId="21" fillId="0" borderId="3" xfId="0" applyFont="1" applyBorder="1"/>
    <xf numFmtId="165" fontId="21" fillId="0" borderId="3" xfId="0" applyNumberFormat="1" applyFont="1" applyBorder="1"/>
    <xf numFmtId="165" fontId="21" fillId="0" borderId="3" xfId="0" applyNumberFormat="1" applyFont="1" applyBorder="1" applyAlignment="1"/>
    <xf numFmtId="166" fontId="21" fillId="0" borderId="13" xfId="0" applyNumberFormat="1" applyFont="1" applyBorder="1" applyAlignment="1">
      <alignment horizontal="center"/>
    </xf>
    <xf numFmtId="0" fontId="0" fillId="7" borderId="1" xfId="0" applyFill="1" applyBorder="1" applyAlignment="1">
      <alignment horizontal="left"/>
    </xf>
    <xf numFmtId="0" fontId="0" fillId="11" borderId="1" xfId="0" applyFill="1" applyBorder="1" applyAlignment="1">
      <alignment horizontal="left"/>
    </xf>
    <xf numFmtId="0" fontId="22" fillId="0" borderId="18" xfId="0" applyFont="1" applyBorder="1" applyAlignment="1">
      <alignment horizontal="center" wrapText="1"/>
    </xf>
    <xf numFmtId="0" fontId="22" fillId="0" borderId="19" xfId="0" applyFont="1" applyBorder="1" applyAlignment="1">
      <alignment horizontal="center" wrapText="1"/>
    </xf>
    <xf numFmtId="0" fontId="22" fillId="0" borderId="20" xfId="0" applyFont="1" applyBorder="1" applyAlignment="1">
      <alignment horizontal="center" wrapText="1"/>
    </xf>
    <xf numFmtId="0" fontId="1" fillId="0" borderId="0" xfId="0" applyFont="1" applyBorder="1" applyAlignment="1">
      <alignment horizontal="center" wrapText="1"/>
    </xf>
    <xf numFmtId="0" fontId="1" fillId="0" borderId="3" xfId="0" applyFont="1" applyBorder="1" applyAlignment="1">
      <alignment horizontal="center" wrapText="1"/>
    </xf>
    <xf numFmtId="0" fontId="10" fillId="12" borderId="0" xfId="0" applyFont="1" applyFill="1" applyAlignment="1">
      <alignment horizontal="left"/>
    </xf>
    <xf numFmtId="0" fontId="15" fillId="7" borderId="0" xfId="0" applyFont="1" applyFill="1" applyAlignment="1">
      <alignment horizontal="left" vertical="center" wrapText="1"/>
    </xf>
    <xf numFmtId="0" fontId="8" fillId="0" borderId="18" xfId="0" applyFont="1" applyBorder="1" applyAlignment="1">
      <alignment horizontal="center" wrapText="1"/>
    </xf>
    <xf numFmtId="0" fontId="8" fillId="0" borderId="19" xfId="0" applyFont="1" applyBorder="1" applyAlignment="1">
      <alignment horizontal="center" wrapText="1"/>
    </xf>
    <xf numFmtId="0" fontId="8" fillId="0" borderId="20" xfId="0" applyFont="1" applyBorder="1" applyAlignment="1">
      <alignment horizontal="center" wrapText="1"/>
    </xf>
    <xf numFmtId="0" fontId="9" fillId="0" borderId="0" xfId="0" applyFont="1" applyBorder="1" applyAlignment="1">
      <alignment horizontal="center" wrapText="1"/>
    </xf>
    <xf numFmtId="0" fontId="8" fillId="0" borderId="0" xfId="0" applyFont="1" applyBorder="1" applyAlignment="1">
      <alignment horizontal="center" wrapText="1"/>
    </xf>
    <xf numFmtId="0" fontId="8" fillId="0" borderId="3" xfId="0" applyFont="1" applyBorder="1" applyAlignment="1">
      <alignment horizontal="center" wrapText="1"/>
    </xf>
    <xf numFmtId="0" fontId="15" fillId="7" borderId="0" xfId="0" applyFont="1" applyFill="1" applyAlignment="1">
      <alignment horizontal="left" vertical="center"/>
    </xf>
    <xf numFmtId="0" fontId="15" fillId="11" borderId="0" xfId="0" applyFont="1" applyFill="1" applyAlignment="1">
      <alignment horizontal="left" vertical="center" wrapText="1"/>
    </xf>
    <xf numFmtId="0" fontId="9" fillId="0" borderId="0" xfId="0" applyFont="1" applyAlignment="1">
      <alignment horizontal="center" wrapText="1"/>
    </xf>
    <xf numFmtId="0" fontId="15" fillId="11" borderId="0" xfId="0" applyFont="1" applyFill="1" applyAlignment="1">
      <alignment horizontal="left" vertical="center"/>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3" Type="http://schemas.openxmlformats.org/officeDocument/2006/relationships/image" Target="../media/image5.PNG"/><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smoothMarker"/>
        <c:varyColors val="0"/>
        <c:ser>
          <c:idx val="0"/>
          <c:order val="0"/>
          <c:tx>
            <c:v>Storm Freq vs. BMP Flow Reduction</c:v>
          </c:tx>
          <c:spPr>
            <a:ln w="19050" cap="rnd">
              <a:solidFill>
                <a:schemeClr val="accent1"/>
              </a:solidFill>
              <a:round/>
            </a:ln>
            <a:effectLst/>
          </c:spPr>
          <c:marker>
            <c:symbol val="circle"/>
            <c:size val="5"/>
            <c:spPr>
              <a:solidFill>
                <a:schemeClr val="accent1"/>
              </a:solidFill>
              <a:ln w="9525">
                <a:solidFill>
                  <a:schemeClr val="accent1"/>
                </a:solidFill>
              </a:ln>
              <a:effectLst/>
            </c:spPr>
          </c:marker>
          <c:xVal>
            <c:numRef>
              <c:f>Flow!$E$20:$E$22</c:f>
              <c:numCache>
                <c:formatCode>General</c:formatCode>
                <c:ptCount val="3"/>
                <c:pt idx="0">
                  <c:v>5</c:v>
                </c:pt>
                <c:pt idx="1">
                  <c:v>19</c:v>
                </c:pt>
                <c:pt idx="2">
                  <c:v>117</c:v>
                </c:pt>
              </c:numCache>
            </c:numRef>
          </c:xVal>
          <c:yVal>
            <c:numRef>
              <c:f>Flow!$F$20:$F$22</c:f>
              <c:numCache>
                <c:formatCode>General</c:formatCode>
                <c:ptCount val="3"/>
                <c:pt idx="0">
                  <c:v>35.347149214395955</c:v>
                </c:pt>
                <c:pt idx="1">
                  <c:v>33.369271308751181</c:v>
                </c:pt>
                <c:pt idx="2">
                  <c:v>17.906425337810038</c:v>
                </c:pt>
              </c:numCache>
            </c:numRef>
          </c:yVal>
          <c:smooth val="1"/>
          <c:extLst>
            <c:ext xmlns:c16="http://schemas.microsoft.com/office/drawing/2014/chart" uri="{C3380CC4-5D6E-409C-BE32-E72D297353CC}">
              <c16:uniqueId val="{00000000-4C3F-4D09-A505-59010A78A98E}"/>
            </c:ext>
          </c:extLst>
        </c:ser>
        <c:dLbls>
          <c:showLegendKey val="0"/>
          <c:showVal val="0"/>
          <c:showCatName val="0"/>
          <c:showSerName val="0"/>
          <c:showPercent val="0"/>
          <c:showBubbleSize val="0"/>
        </c:dLbls>
        <c:axId val="710686456"/>
        <c:axId val="710687440"/>
      </c:scatterChart>
      <c:valAx>
        <c:axId val="710686456"/>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Return Frequency</a:t>
                </a:r>
                <a:r>
                  <a:rPr lang="en-US" baseline="0"/>
                  <a:t> (yrs)</a:t>
                </a:r>
                <a:endParaRPr lang="en-US"/>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10687440"/>
        <c:crosses val="autoZero"/>
        <c:crossBetween val="midCat"/>
      </c:valAx>
      <c:valAx>
        <c:axId val="71068744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Percent Flow Reduction</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10686456"/>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RAS vs. FEMA Profile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6.4287174839713107E-2"/>
          <c:y val="7.918866431173345E-2"/>
          <c:w val="0.87614888856929729"/>
          <c:h val="0.82600846215867085"/>
        </c:manualLayout>
      </c:layout>
      <c:scatterChart>
        <c:scatterStyle val="lineMarker"/>
        <c:varyColors val="0"/>
        <c:ser>
          <c:idx val="3"/>
          <c:order val="0"/>
          <c:tx>
            <c:v>P500yr</c:v>
          </c:tx>
          <c:spPr>
            <a:ln w="19050" cap="rnd">
              <a:solidFill>
                <a:schemeClr val="accent4">
                  <a:alpha val="50000"/>
                </a:schemeClr>
              </a:solidFill>
              <a:round/>
            </a:ln>
            <a:effectLst/>
          </c:spPr>
          <c:marker>
            <c:symbol val="none"/>
          </c:marker>
          <c:xVal>
            <c:numRef>
              <c:f>Carrol_Creek_Comp!$C$5:$C$18</c:f>
              <c:numCache>
                <c:formatCode>General</c:formatCode>
                <c:ptCount val="14"/>
                <c:pt idx="0">
                  <c:v>24764.74</c:v>
                </c:pt>
                <c:pt idx="1">
                  <c:v>24229.48</c:v>
                </c:pt>
                <c:pt idx="2">
                  <c:v>23896.78</c:v>
                </c:pt>
                <c:pt idx="3">
                  <c:v>23436.35</c:v>
                </c:pt>
                <c:pt idx="4">
                  <c:v>22879.01</c:v>
                </c:pt>
                <c:pt idx="5">
                  <c:v>22154.799999999999</c:v>
                </c:pt>
                <c:pt idx="6">
                  <c:v>22075</c:v>
                </c:pt>
                <c:pt idx="7">
                  <c:v>22001.9</c:v>
                </c:pt>
                <c:pt idx="8">
                  <c:v>21353</c:v>
                </c:pt>
                <c:pt idx="9">
                  <c:v>20360.64</c:v>
                </c:pt>
                <c:pt idx="10">
                  <c:v>19912.439999999999</c:v>
                </c:pt>
                <c:pt idx="11">
                  <c:v>19763</c:v>
                </c:pt>
                <c:pt idx="12">
                  <c:v>19569.61</c:v>
                </c:pt>
                <c:pt idx="13">
                  <c:v>19058.87</c:v>
                </c:pt>
              </c:numCache>
            </c:numRef>
          </c:xVal>
          <c:yVal>
            <c:numRef>
              <c:f>Carrol_Creek_Comp!$I$5:$I$18</c:f>
              <c:numCache>
                <c:formatCode>General</c:formatCode>
                <c:ptCount val="14"/>
                <c:pt idx="0">
                  <c:v>317.56</c:v>
                </c:pt>
                <c:pt idx="1">
                  <c:v>316.3</c:v>
                </c:pt>
                <c:pt idx="2">
                  <c:v>316.60000000000002</c:v>
                </c:pt>
                <c:pt idx="3">
                  <c:v>316.5</c:v>
                </c:pt>
                <c:pt idx="4">
                  <c:v>316.52999999999997</c:v>
                </c:pt>
                <c:pt idx="5">
                  <c:v>316.5</c:v>
                </c:pt>
                <c:pt idx="7">
                  <c:v>316.47000000000003</c:v>
                </c:pt>
                <c:pt idx="8">
                  <c:v>316.45999999999998</c:v>
                </c:pt>
                <c:pt idx="9">
                  <c:v>316.45999999999998</c:v>
                </c:pt>
                <c:pt idx="10">
                  <c:v>316.44</c:v>
                </c:pt>
                <c:pt idx="12">
                  <c:v>300.83</c:v>
                </c:pt>
                <c:pt idx="13">
                  <c:v>300.33</c:v>
                </c:pt>
              </c:numCache>
            </c:numRef>
          </c:yVal>
          <c:smooth val="0"/>
          <c:extLst>
            <c:ext xmlns:c16="http://schemas.microsoft.com/office/drawing/2014/chart" uri="{C3380CC4-5D6E-409C-BE32-E72D297353CC}">
              <c16:uniqueId val="{00000004-3DFE-4751-9397-57CFE21B1D31}"/>
            </c:ext>
          </c:extLst>
        </c:ser>
        <c:ser>
          <c:idx val="2"/>
          <c:order val="1"/>
          <c:tx>
            <c:v>P100yr</c:v>
          </c:tx>
          <c:spPr>
            <a:ln w="22225" cap="rnd">
              <a:solidFill>
                <a:schemeClr val="accent2">
                  <a:lumMod val="75000"/>
                </a:schemeClr>
              </a:solidFill>
              <a:round/>
            </a:ln>
            <a:effectLst/>
          </c:spPr>
          <c:marker>
            <c:symbol val="none"/>
          </c:marker>
          <c:xVal>
            <c:numRef>
              <c:f>Carrol_Creek_Comp!$C$5:$C$18</c:f>
              <c:numCache>
                <c:formatCode>General</c:formatCode>
                <c:ptCount val="14"/>
                <c:pt idx="0">
                  <c:v>24764.74</c:v>
                </c:pt>
                <c:pt idx="1">
                  <c:v>24229.48</c:v>
                </c:pt>
                <c:pt idx="2">
                  <c:v>23896.78</c:v>
                </c:pt>
                <c:pt idx="3">
                  <c:v>23436.35</c:v>
                </c:pt>
                <c:pt idx="4">
                  <c:v>22879.01</c:v>
                </c:pt>
                <c:pt idx="5">
                  <c:v>22154.799999999999</c:v>
                </c:pt>
                <c:pt idx="6">
                  <c:v>22075</c:v>
                </c:pt>
                <c:pt idx="7">
                  <c:v>22001.9</c:v>
                </c:pt>
                <c:pt idx="8">
                  <c:v>21353</c:v>
                </c:pt>
                <c:pt idx="9">
                  <c:v>20360.64</c:v>
                </c:pt>
                <c:pt idx="10">
                  <c:v>19912.439999999999</c:v>
                </c:pt>
                <c:pt idx="11">
                  <c:v>19763</c:v>
                </c:pt>
                <c:pt idx="12">
                  <c:v>19569.61</c:v>
                </c:pt>
                <c:pt idx="13">
                  <c:v>19058.87</c:v>
                </c:pt>
              </c:numCache>
            </c:numRef>
          </c:xVal>
          <c:yVal>
            <c:numRef>
              <c:f>Carrol_Creek_Comp!$G$5:$G$18</c:f>
              <c:numCache>
                <c:formatCode>General</c:formatCode>
                <c:ptCount val="14"/>
                <c:pt idx="0">
                  <c:v>317.39999999999998</c:v>
                </c:pt>
                <c:pt idx="1">
                  <c:v>313.83999999999997</c:v>
                </c:pt>
                <c:pt idx="2">
                  <c:v>313.76</c:v>
                </c:pt>
                <c:pt idx="3">
                  <c:v>313.52999999999997</c:v>
                </c:pt>
                <c:pt idx="4">
                  <c:v>313.60000000000002</c:v>
                </c:pt>
                <c:pt idx="5">
                  <c:v>313.54000000000002</c:v>
                </c:pt>
                <c:pt idx="7">
                  <c:v>310.58999999999997</c:v>
                </c:pt>
                <c:pt idx="8">
                  <c:v>310.51</c:v>
                </c:pt>
                <c:pt idx="9">
                  <c:v>310.52999999999997</c:v>
                </c:pt>
                <c:pt idx="10">
                  <c:v>310.47000000000003</c:v>
                </c:pt>
                <c:pt idx="12">
                  <c:v>299.75</c:v>
                </c:pt>
                <c:pt idx="13">
                  <c:v>299.33999999999997</c:v>
                </c:pt>
              </c:numCache>
            </c:numRef>
          </c:yVal>
          <c:smooth val="0"/>
          <c:extLst>
            <c:ext xmlns:c16="http://schemas.microsoft.com/office/drawing/2014/chart" uri="{C3380CC4-5D6E-409C-BE32-E72D297353CC}">
              <c16:uniqueId val="{00000003-3DFE-4751-9397-57CFE21B1D31}"/>
            </c:ext>
          </c:extLst>
        </c:ser>
        <c:ser>
          <c:idx val="5"/>
          <c:order val="2"/>
          <c:tx>
            <c:v>P100yr_w_BMP</c:v>
          </c:tx>
          <c:spPr>
            <a:ln w="19050" cap="rnd">
              <a:solidFill>
                <a:schemeClr val="accent2">
                  <a:lumMod val="75000"/>
                </a:schemeClr>
              </a:solidFill>
              <a:prstDash val="dash"/>
              <a:round/>
            </a:ln>
            <a:effectLst/>
          </c:spPr>
          <c:marker>
            <c:symbol val="none"/>
          </c:marker>
          <c:xVal>
            <c:numRef>
              <c:f>Carrol_Creek_Comp!$C$5:$C$18</c:f>
              <c:numCache>
                <c:formatCode>General</c:formatCode>
                <c:ptCount val="14"/>
                <c:pt idx="0">
                  <c:v>24764.74</c:v>
                </c:pt>
                <c:pt idx="1">
                  <c:v>24229.48</c:v>
                </c:pt>
                <c:pt idx="2">
                  <c:v>23896.78</c:v>
                </c:pt>
                <c:pt idx="3">
                  <c:v>23436.35</c:v>
                </c:pt>
                <c:pt idx="4">
                  <c:v>22879.01</c:v>
                </c:pt>
                <c:pt idx="5">
                  <c:v>22154.799999999999</c:v>
                </c:pt>
                <c:pt idx="6">
                  <c:v>22075</c:v>
                </c:pt>
                <c:pt idx="7">
                  <c:v>22001.9</c:v>
                </c:pt>
                <c:pt idx="8">
                  <c:v>21353</c:v>
                </c:pt>
                <c:pt idx="9">
                  <c:v>20360.64</c:v>
                </c:pt>
                <c:pt idx="10">
                  <c:v>19912.439999999999</c:v>
                </c:pt>
                <c:pt idx="11">
                  <c:v>19763</c:v>
                </c:pt>
                <c:pt idx="12">
                  <c:v>19569.61</c:v>
                </c:pt>
                <c:pt idx="13">
                  <c:v>19058.87</c:v>
                </c:pt>
              </c:numCache>
            </c:numRef>
          </c:xVal>
          <c:yVal>
            <c:numRef>
              <c:f>Carrol_Creek_Comp!$H$5:$H$18</c:f>
              <c:numCache>
                <c:formatCode>General</c:formatCode>
                <c:ptCount val="14"/>
                <c:pt idx="0">
                  <c:v>316.60000000000002</c:v>
                </c:pt>
                <c:pt idx="1">
                  <c:v>312.98</c:v>
                </c:pt>
                <c:pt idx="2">
                  <c:v>313.18</c:v>
                </c:pt>
                <c:pt idx="3">
                  <c:v>313.01</c:v>
                </c:pt>
                <c:pt idx="4">
                  <c:v>313.06</c:v>
                </c:pt>
                <c:pt idx="5">
                  <c:v>313.01</c:v>
                </c:pt>
                <c:pt idx="7">
                  <c:v>307.5</c:v>
                </c:pt>
                <c:pt idx="8">
                  <c:v>307.37</c:v>
                </c:pt>
                <c:pt idx="9">
                  <c:v>307.35000000000002</c:v>
                </c:pt>
                <c:pt idx="10">
                  <c:v>307.27</c:v>
                </c:pt>
                <c:pt idx="12">
                  <c:v>298.92</c:v>
                </c:pt>
                <c:pt idx="13">
                  <c:v>298.60000000000002</c:v>
                </c:pt>
              </c:numCache>
            </c:numRef>
          </c:yVal>
          <c:smooth val="0"/>
          <c:extLst>
            <c:ext xmlns:c16="http://schemas.microsoft.com/office/drawing/2014/chart" uri="{C3380CC4-5D6E-409C-BE32-E72D297353CC}">
              <c16:uniqueId val="{00000006-3DFE-4751-9397-57CFE21B1D31}"/>
            </c:ext>
          </c:extLst>
        </c:ser>
        <c:ser>
          <c:idx val="1"/>
          <c:order val="3"/>
          <c:tx>
            <c:v>P50yr</c:v>
          </c:tx>
          <c:spPr>
            <a:ln w="19050" cap="rnd">
              <a:solidFill>
                <a:schemeClr val="accent4">
                  <a:alpha val="60000"/>
                </a:schemeClr>
              </a:solidFill>
              <a:round/>
            </a:ln>
            <a:effectLst/>
          </c:spPr>
          <c:marker>
            <c:symbol val="none"/>
          </c:marker>
          <c:xVal>
            <c:numRef>
              <c:f>Carrol_Creek_Comp!$C$5:$C$18</c:f>
              <c:numCache>
                <c:formatCode>General</c:formatCode>
                <c:ptCount val="14"/>
                <c:pt idx="0">
                  <c:v>24764.74</c:v>
                </c:pt>
                <c:pt idx="1">
                  <c:v>24229.48</c:v>
                </c:pt>
                <c:pt idx="2">
                  <c:v>23896.78</c:v>
                </c:pt>
                <c:pt idx="3">
                  <c:v>23436.35</c:v>
                </c:pt>
                <c:pt idx="4">
                  <c:v>22879.01</c:v>
                </c:pt>
                <c:pt idx="5">
                  <c:v>22154.799999999999</c:v>
                </c:pt>
                <c:pt idx="6">
                  <c:v>22075</c:v>
                </c:pt>
                <c:pt idx="7">
                  <c:v>22001.9</c:v>
                </c:pt>
                <c:pt idx="8">
                  <c:v>21353</c:v>
                </c:pt>
                <c:pt idx="9">
                  <c:v>20360.64</c:v>
                </c:pt>
                <c:pt idx="10">
                  <c:v>19912.439999999999</c:v>
                </c:pt>
                <c:pt idx="11">
                  <c:v>19763</c:v>
                </c:pt>
                <c:pt idx="12">
                  <c:v>19569.61</c:v>
                </c:pt>
                <c:pt idx="13">
                  <c:v>19058.87</c:v>
                </c:pt>
              </c:numCache>
            </c:numRef>
          </c:xVal>
          <c:yVal>
            <c:numRef>
              <c:f>Carrol_Creek_Comp!$F$5:$F$18</c:f>
              <c:numCache>
                <c:formatCode>General</c:formatCode>
                <c:ptCount val="14"/>
                <c:pt idx="0">
                  <c:v>316.33999999999997</c:v>
                </c:pt>
                <c:pt idx="1">
                  <c:v>313.13</c:v>
                </c:pt>
                <c:pt idx="2">
                  <c:v>313.41000000000003</c:v>
                </c:pt>
                <c:pt idx="3">
                  <c:v>313.26</c:v>
                </c:pt>
                <c:pt idx="4">
                  <c:v>313.31</c:v>
                </c:pt>
                <c:pt idx="5">
                  <c:v>313.25</c:v>
                </c:pt>
                <c:pt idx="7">
                  <c:v>308.88</c:v>
                </c:pt>
                <c:pt idx="8">
                  <c:v>308.8</c:v>
                </c:pt>
                <c:pt idx="9">
                  <c:v>308.8</c:v>
                </c:pt>
                <c:pt idx="10">
                  <c:v>308.72000000000003</c:v>
                </c:pt>
                <c:pt idx="12">
                  <c:v>299.33999999999997</c:v>
                </c:pt>
                <c:pt idx="13">
                  <c:v>298.97000000000003</c:v>
                </c:pt>
              </c:numCache>
            </c:numRef>
          </c:yVal>
          <c:smooth val="0"/>
          <c:extLst>
            <c:ext xmlns:c16="http://schemas.microsoft.com/office/drawing/2014/chart" uri="{C3380CC4-5D6E-409C-BE32-E72D297353CC}">
              <c16:uniqueId val="{00000002-3DFE-4751-9397-57CFE21B1D31}"/>
            </c:ext>
          </c:extLst>
        </c:ser>
        <c:ser>
          <c:idx val="0"/>
          <c:order val="4"/>
          <c:tx>
            <c:v>P10yr</c:v>
          </c:tx>
          <c:spPr>
            <a:ln w="19050" cap="rnd">
              <a:solidFill>
                <a:schemeClr val="accent4">
                  <a:lumMod val="60000"/>
                  <a:lumOff val="40000"/>
                  <a:alpha val="46000"/>
                </a:schemeClr>
              </a:solidFill>
              <a:round/>
            </a:ln>
            <a:effectLst/>
          </c:spPr>
          <c:marker>
            <c:symbol val="none"/>
          </c:marker>
          <c:xVal>
            <c:numRef>
              <c:f>Carrol_Creek_Comp!$C$5:$C$18</c:f>
              <c:numCache>
                <c:formatCode>General</c:formatCode>
                <c:ptCount val="14"/>
                <c:pt idx="0">
                  <c:v>24764.74</c:v>
                </c:pt>
                <c:pt idx="1">
                  <c:v>24229.48</c:v>
                </c:pt>
                <c:pt idx="2">
                  <c:v>23896.78</c:v>
                </c:pt>
                <c:pt idx="3">
                  <c:v>23436.35</c:v>
                </c:pt>
                <c:pt idx="4">
                  <c:v>22879.01</c:v>
                </c:pt>
                <c:pt idx="5">
                  <c:v>22154.799999999999</c:v>
                </c:pt>
                <c:pt idx="6">
                  <c:v>22075</c:v>
                </c:pt>
                <c:pt idx="7">
                  <c:v>22001.9</c:v>
                </c:pt>
                <c:pt idx="8">
                  <c:v>21353</c:v>
                </c:pt>
                <c:pt idx="9">
                  <c:v>20360.64</c:v>
                </c:pt>
                <c:pt idx="10">
                  <c:v>19912.439999999999</c:v>
                </c:pt>
                <c:pt idx="11">
                  <c:v>19763</c:v>
                </c:pt>
                <c:pt idx="12">
                  <c:v>19569.61</c:v>
                </c:pt>
                <c:pt idx="13">
                  <c:v>19058.87</c:v>
                </c:pt>
              </c:numCache>
            </c:numRef>
          </c:xVal>
          <c:yVal>
            <c:numRef>
              <c:f>Carrol_Creek_Comp!$E$5:$E$18</c:f>
              <c:numCache>
                <c:formatCode>General</c:formatCode>
                <c:ptCount val="14"/>
                <c:pt idx="0">
                  <c:v>315.18</c:v>
                </c:pt>
                <c:pt idx="1">
                  <c:v>311.69</c:v>
                </c:pt>
                <c:pt idx="2">
                  <c:v>310.39999999999998</c:v>
                </c:pt>
                <c:pt idx="3">
                  <c:v>309.81</c:v>
                </c:pt>
                <c:pt idx="4">
                  <c:v>309.91000000000003</c:v>
                </c:pt>
                <c:pt idx="5">
                  <c:v>309.85000000000002</c:v>
                </c:pt>
                <c:pt idx="7">
                  <c:v>303.8</c:v>
                </c:pt>
                <c:pt idx="8">
                  <c:v>303.24</c:v>
                </c:pt>
                <c:pt idx="9">
                  <c:v>303.14999999999998</c:v>
                </c:pt>
                <c:pt idx="10">
                  <c:v>303</c:v>
                </c:pt>
                <c:pt idx="12">
                  <c:v>297.44</c:v>
                </c:pt>
                <c:pt idx="13">
                  <c:v>296.98</c:v>
                </c:pt>
              </c:numCache>
            </c:numRef>
          </c:yVal>
          <c:smooth val="0"/>
          <c:extLst>
            <c:ext xmlns:c16="http://schemas.microsoft.com/office/drawing/2014/chart" uri="{C3380CC4-5D6E-409C-BE32-E72D297353CC}">
              <c16:uniqueId val="{00000001-3DFE-4751-9397-57CFE21B1D31}"/>
            </c:ext>
          </c:extLst>
        </c:ser>
        <c:ser>
          <c:idx val="4"/>
          <c:order val="5"/>
          <c:tx>
            <c:v>RAS Ground</c:v>
          </c:tx>
          <c:spPr>
            <a:ln w="19050" cap="rnd">
              <a:solidFill>
                <a:schemeClr val="accent4">
                  <a:lumMod val="50000"/>
                </a:schemeClr>
              </a:solidFill>
              <a:prstDash val="sysDash"/>
              <a:round/>
            </a:ln>
            <a:effectLst/>
          </c:spPr>
          <c:marker>
            <c:symbol val="none"/>
          </c:marker>
          <c:xVal>
            <c:numRef>
              <c:f>Carrol_Creek_Comp!$C$5:$C$18</c:f>
              <c:numCache>
                <c:formatCode>General</c:formatCode>
                <c:ptCount val="14"/>
                <c:pt idx="0">
                  <c:v>24764.74</c:v>
                </c:pt>
                <c:pt idx="1">
                  <c:v>24229.48</c:v>
                </c:pt>
                <c:pt idx="2">
                  <c:v>23896.78</c:v>
                </c:pt>
                <c:pt idx="3">
                  <c:v>23436.35</c:v>
                </c:pt>
                <c:pt idx="4">
                  <c:v>22879.01</c:v>
                </c:pt>
                <c:pt idx="5">
                  <c:v>22154.799999999999</c:v>
                </c:pt>
                <c:pt idx="6">
                  <c:v>22075</c:v>
                </c:pt>
                <c:pt idx="7">
                  <c:v>22001.9</c:v>
                </c:pt>
                <c:pt idx="8">
                  <c:v>21353</c:v>
                </c:pt>
                <c:pt idx="9">
                  <c:v>20360.64</c:v>
                </c:pt>
                <c:pt idx="10">
                  <c:v>19912.439999999999</c:v>
                </c:pt>
                <c:pt idx="11">
                  <c:v>19763</c:v>
                </c:pt>
                <c:pt idx="12">
                  <c:v>19569.61</c:v>
                </c:pt>
                <c:pt idx="13">
                  <c:v>19058.87</c:v>
                </c:pt>
              </c:numCache>
            </c:numRef>
          </c:xVal>
          <c:yVal>
            <c:numRef>
              <c:f>Carrol_Creek_Comp!$D$5:$D$18</c:f>
              <c:numCache>
                <c:formatCode>General</c:formatCode>
                <c:ptCount val="14"/>
                <c:pt idx="0">
                  <c:v>307</c:v>
                </c:pt>
                <c:pt idx="1">
                  <c:v>305</c:v>
                </c:pt>
                <c:pt idx="2">
                  <c:v>304.49</c:v>
                </c:pt>
                <c:pt idx="3">
                  <c:v>303.61</c:v>
                </c:pt>
                <c:pt idx="4">
                  <c:v>300.98</c:v>
                </c:pt>
                <c:pt idx="5">
                  <c:v>299.02</c:v>
                </c:pt>
                <c:pt idx="7">
                  <c:v>297</c:v>
                </c:pt>
                <c:pt idx="8">
                  <c:v>295</c:v>
                </c:pt>
                <c:pt idx="9">
                  <c:v>293.5</c:v>
                </c:pt>
                <c:pt idx="10">
                  <c:v>292.39999999999998</c:v>
                </c:pt>
                <c:pt idx="12">
                  <c:v>288.94</c:v>
                </c:pt>
                <c:pt idx="13">
                  <c:v>288.32</c:v>
                </c:pt>
              </c:numCache>
            </c:numRef>
          </c:yVal>
          <c:smooth val="0"/>
          <c:extLst>
            <c:ext xmlns:c16="http://schemas.microsoft.com/office/drawing/2014/chart" uri="{C3380CC4-5D6E-409C-BE32-E72D297353CC}">
              <c16:uniqueId val="{00000005-3DFE-4751-9397-57CFE21B1D31}"/>
            </c:ext>
          </c:extLst>
        </c:ser>
        <c:dLbls>
          <c:showLegendKey val="0"/>
          <c:showVal val="0"/>
          <c:showCatName val="0"/>
          <c:showSerName val="0"/>
          <c:showPercent val="0"/>
          <c:showBubbleSize val="0"/>
        </c:dLbls>
        <c:axId val="441027064"/>
        <c:axId val="441030672"/>
      </c:scatterChart>
      <c:valAx>
        <c:axId val="441027064"/>
        <c:scaling>
          <c:orientation val="minMax"/>
          <c:max val="25000"/>
          <c:min val="19500"/>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Stream Distance (ft)</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41030672"/>
        <c:crosses val="autoZero"/>
        <c:crossBetween val="midCat"/>
      </c:valAx>
      <c:valAx>
        <c:axId val="441030672"/>
        <c:scaling>
          <c:orientation val="minMax"/>
          <c:max val="320"/>
          <c:min val="28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Elevation (ft)</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41027064"/>
        <c:crosses val="autoZero"/>
        <c:crossBetween val="midCat"/>
      </c:valAx>
      <c:spPr>
        <a:blipFill dpi="0" rotWithShape="1">
          <a:blip xmlns:r="http://schemas.openxmlformats.org/officeDocument/2006/relationships" r:embed="rId3">
            <a:alphaModFix amt="30000"/>
          </a:blip>
          <a:srcRect/>
          <a:stretch>
            <a:fillRect/>
          </a:stretch>
        </a:blipFill>
        <a:ln>
          <a:noFill/>
        </a:ln>
        <a:effectLst/>
      </c:spPr>
    </c:plotArea>
    <c:legend>
      <c:legendPos val="r"/>
      <c:layout>
        <c:manualLayout>
          <c:xMode val="edge"/>
          <c:yMode val="edge"/>
          <c:x val="0.76386475412464017"/>
          <c:y val="0.46673522333199513"/>
          <c:w val="0.1236776770046409"/>
          <c:h val="0.21617439685937176"/>
        </c:manualLayout>
      </c:layout>
      <c:overlay val="0"/>
      <c:spPr>
        <a:solidFill>
          <a:schemeClr val="bg1"/>
        </a:solidFill>
        <a:ln>
          <a:solidFill>
            <a:schemeClr val="tx1">
              <a:lumMod val="75000"/>
              <a:lumOff val="25000"/>
            </a:schemeClr>
          </a:solid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7615130971355333"/>
          <c:y val="0.13511839708561019"/>
          <c:w val="0.73756441571124165"/>
          <c:h val="0.70312092136023985"/>
        </c:manualLayout>
      </c:layout>
      <c:scatterChart>
        <c:scatterStyle val="lineMarker"/>
        <c:varyColors val="0"/>
        <c:ser>
          <c:idx val="2"/>
          <c:order val="2"/>
          <c:tx>
            <c:v>Damage Reduced</c:v>
          </c:tx>
          <c:spPr>
            <a:ln w="19050" cap="rnd">
              <a:solidFill>
                <a:schemeClr val="accent3"/>
              </a:solidFill>
              <a:round/>
            </a:ln>
            <a:effectLst/>
          </c:spPr>
          <c:marker>
            <c:symbol val="circle"/>
            <c:size val="5"/>
            <c:spPr>
              <a:solidFill>
                <a:schemeClr val="accent3"/>
              </a:solidFill>
              <a:ln w="9525">
                <a:solidFill>
                  <a:schemeClr val="accent3"/>
                </a:solidFill>
              </a:ln>
              <a:effectLst/>
            </c:spPr>
          </c:marker>
          <c:xVal>
            <c:numRef>
              <c:f>'Initial Damage Calcs_Crouch'!$A$4:$A$7</c:f>
              <c:numCache>
                <c:formatCode>General</c:formatCode>
                <c:ptCount val="4"/>
                <c:pt idx="0">
                  <c:v>0.1</c:v>
                </c:pt>
                <c:pt idx="1">
                  <c:v>0.02</c:v>
                </c:pt>
                <c:pt idx="2">
                  <c:v>0.01</c:v>
                </c:pt>
                <c:pt idx="3">
                  <c:v>2E-3</c:v>
                </c:pt>
              </c:numCache>
            </c:numRef>
          </c:xVal>
          <c:yVal>
            <c:numRef>
              <c:f>'Initial Damage Calcs_Crouch'!$L$4:$L$7</c:f>
              <c:numCache>
                <c:formatCode>#,##0</c:formatCode>
                <c:ptCount val="4"/>
                <c:pt idx="0">
                  <c:v>272722.79563140817</c:v>
                </c:pt>
                <c:pt idx="1">
                  <c:v>1246064.5661350177</c:v>
                </c:pt>
                <c:pt idx="2">
                  <c:v>1945655.8044359661</c:v>
                </c:pt>
                <c:pt idx="3">
                  <c:v>5597367.4077194259</c:v>
                </c:pt>
              </c:numCache>
            </c:numRef>
          </c:yVal>
          <c:smooth val="0"/>
          <c:extLst>
            <c:ext xmlns:c16="http://schemas.microsoft.com/office/drawing/2014/chart" uri="{C3380CC4-5D6E-409C-BE32-E72D297353CC}">
              <c16:uniqueId val="{00000002-FACC-4A87-9115-2F746492BE24}"/>
            </c:ext>
          </c:extLst>
        </c:ser>
        <c:dLbls>
          <c:showLegendKey val="0"/>
          <c:showVal val="0"/>
          <c:showCatName val="0"/>
          <c:showSerName val="0"/>
          <c:showPercent val="0"/>
          <c:showBubbleSize val="0"/>
        </c:dLbls>
        <c:axId val="585063312"/>
        <c:axId val="585061672"/>
        <c:extLst>
          <c:ext xmlns:c15="http://schemas.microsoft.com/office/drawing/2012/chart" uri="{02D57815-91ED-43cb-92C2-25804820EDAC}">
            <c15:filteredScatterSeries>
              <c15:ser>
                <c:idx val="0"/>
                <c:order val="0"/>
                <c:tx>
                  <c:v>No BMP</c:v>
                </c:tx>
                <c:spPr>
                  <a:ln w="19050" cap="rnd">
                    <a:solidFill>
                      <a:schemeClr val="accent1"/>
                    </a:solidFill>
                    <a:round/>
                  </a:ln>
                  <a:effectLst/>
                </c:spPr>
                <c:marker>
                  <c:symbol val="circle"/>
                  <c:size val="5"/>
                  <c:spPr>
                    <a:solidFill>
                      <a:schemeClr val="accent1"/>
                    </a:solidFill>
                    <a:ln w="9525">
                      <a:solidFill>
                        <a:schemeClr val="accent1"/>
                      </a:solidFill>
                    </a:ln>
                    <a:effectLst/>
                  </c:spPr>
                </c:marker>
                <c:xVal>
                  <c:numRef>
                    <c:extLst>
                      <c:ext uri="{02D57815-91ED-43cb-92C2-25804820EDAC}">
                        <c15:formulaRef>
                          <c15:sqref>'Initial Damage Calcs_Crouch'!$B$4:$B$7</c15:sqref>
                        </c15:formulaRef>
                      </c:ext>
                    </c:extLst>
                    <c:numCache>
                      <c:formatCode>General</c:formatCode>
                      <c:ptCount val="4"/>
                      <c:pt idx="0">
                        <c:v>10</c:v>
                      </c:pt>
                      <c:pt idx="1">
                        <c:v>2</c:v>
                      </c:pt>
                      <c:pt idx="2">
                        <c:v>1</c:v>
                      </c:pt>
                      <c:pt idx="3">
                        <c:v>0.2</c:v>
                      </c:pt>
                    </c:numCache>
                  </c:numRef>
                </c:xVal>
                <c:yVal>
                  <c:numRef>
                    <c:extLst>
                      <c:ext uri="{02D57815-91ED-43cb-92C2-25804820EDAC}">
                        <c15:formulaRef>
                          <c15:sqref>'Initial Damage Calcs_Crouch'!$F$4:$F$7</c15:sqref>
                        </c15:formulaRef>
                      </c:ext>
                    </c:extLst>
                    <c:numCache>
                      <c:formatCode>#,##0</c:formatCode>
                      <c:ptCount val="4"/>
                      <c:pt idx="0">
                        <c:v>350084.71573638852</c:v>
                      </c:pt>
                      <c:pt idx="1">
                        <c:v>1774179.663631049</c:v>
                      </c:pt>
                      <c:pt idx="2">
                        <c:v>3171956.6823239271</c:v>
                      </c:pt>
                      <c:pt idx="3">
                        <c:v>9452299.485546099</c:v>
                      </c:pt>
                    </c:numCache>
                  </c:numRef>
                </c:yVal>
                <c:smooth val="0"/>
                <c:extLst>
                  <c:ext xmlns:c16="http://schemas.microsoft.com/office/drawing/2014/chart" uri="{C3380CC4-5D6E-409C-BE32-E72D297353CC}">
                    <c16:uniqueId val="{00000000-FACC-4A87-9115-2F746492BE24}"/>
                  </c:ext>
                </c:extLst>
              </c15:ser>
            </c15:filteredScatterSeries>
            <c15:filteredScatterSeries>
              <c15:ser>
                <c:idx val="1"/>
                <c:order val="1"/>
                <c:tx>
                  <c:v>Max BMP</c:v>
                </c:tx>
                <c:spPr>
                  <a:ln w="19050" cap="rnd">
                    <a:solidFill>
                      <a:schemeClr val="accent2"/>
                    </a:solidFill>
                    <a:round/>
                  </a:ln>
                  <a:effectLst/>
                </c:spPr>
                <c:marker>
                  <c:symbol val="circle"/>
                  <c:size val="5"/>
                  <c:spPr>
                    <a:solidFill>
                      <a:schemeClr val="accent2"/>
                    </a:solidFill>
                    <a:ln w="9525">
                      <a:solidFill>
                        <a:schemeClr val="accent2"/>
                      </a:solidFill>
                    </a:ln>
                    <a:effectLst/>
                  </c:spPr>
                </c:marker>
                <c:xVal>
                  <c:numRef>
                    <c:extLst xmlns:c15="http://schemas.microsoft.com/office/drawing/2012/chart">
                      <c:ext xmlns:c15="http://schemas.microsoft.com/office/drawing/2012/chart" uri="{02D57815-91ED-43cb-92C2-25804820EDAC}">
                        <c15:formulaRef>
                          <c15:sqref>'Initial Damage Calcs_Crouch'!$B$4:$B$7</c15:sqref>
                        </c15:formulaRef>
                      </c:ext>
                    </c:extLst>
                    <c:numCache>
                      <c:formatCode>General</c:formatCode>
                      <c:ptCount val="4"/>
                      <c:pt idx="0">
                        <c:v>10</c:v>
                      </c:pt>
                      <c:pt idx="1">
                        <c:v>2</c:v>
                      </c:pt>
                      <c:pt idx="2">
                        <c:v>1</c:v>
                      </c:pt>
                      <c:pt idx="3">
                        <c:v>0.2</c:v>
                      </c:pt>
                    </c:numCache>
                  </c:numRef>
                </c:xVal>
                <c:yVal>
                  <c:numRef>
                    <c:extLst xmlns:c15="http://schemas.microsoft.com/office/drawing/2012/chart">
                      <c:ext xmlns:c15="http://schemas.microsoft.com/office/drawing/2012/chart" uri="{02D57815-91ED-43cb-92C2-25804820EDAC}">
                        <c15:formulaRef>
                          <c15:sqref>'Initial Damage Calcs_Crouch'!$J$4:$J$7</c15:sqref>
                        </c15:formulaRef>
                      </c:ext>
                    </c:extLst>
                    <c:numCache>
                      <c:formatCode>#,##0</c:formatCode>
                      <c:ptCount val="4"/>
                      <c:pt idx="0">
                        <c:v>77361.920104980338</c:v>
                      </c:pt>
                      <c:pt idx="1">
                        <c:v>528115.09749603132</c:v>
                      </c:pt>
                      <c:pt idx="2">
                        <c:v>1226300.877887961</c:v>
                      </c:pt>
                      <c:pt idx="3">
                        <c:v>3854932.0778266732</c:v>
                      </c:pt>
                    </c:numCache>
                  </c:numRef>
                </c:yVal>
                <c:smooth val="0"/>
                <c:extLst xmlns:c15="http://schemas.microsoft.com/office/drawing/2012/chart">
                  <c:ext xmlns:c16="http://schemas.microsoft.com/office/drawing/2014/chart" uri="{C3380CC4-5D6E-409C-BE32-E72D297353CC}">
                    <c16:uniqueId val="{00000001-FACC-4A87-9115-2F746492BE24}"/>
                  </c:ext>
                </c:extLst>
              </c15:ser>
            </c15:filteredScatterSeries>
          </c:ext>
        </c:extLst>
      </c:scatterChart>
      <c:valAx>
        <c:axId val="585063312"/>
        <c:scaling>
          <c:logBase val="10"/>
          <c:orientation val="minMax"/>
          <c:max val="1"/>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Exceedance Probability</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85061672"/>
        <c:crosses val="autoZero"/>
        <c:crossBetween val="midCat"/>
      </c:valAx>
      <c:valAx>
        <c:axId val="58506167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Damage ($)</a:t>
                </a:r>
              </a:p>
            </c:rich>
          </c:tx>
          <c:layout>
            <c:manualLayout>
              <c:xMode val="edge"/>
              <c:yMode val="edge"/>
              <c:x val="4.3008997202566422E-2"/>
              <c:y val="0.33866114104158024"/>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85063312"/>
        <c:crossesAt val="1.0000000000000003E-4"/>
        <c:crossBetween val="midCat"/>
      </c:valAx>
      <c:spPr>
        <a:noFill/>
        <a:ln>
          <a:noFill/>
        </a:ln>
        <a:effectLst/>
      </c:spPr>
    </c:plotArea>
    <c:legend>
      <c:legendPos val="r"/>
      <c:layout>
        <c:manualLayout>
          <c:xMode val="edge"/>
          <c:yMode val="edge"/>
          <c:x val="0.4605039790692364"/>
          <c:y val="0.28363352121968366"/>
          <c:w val="0.18890942528939486"/>
          <c:h val="5.9210940737670956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ysClr val="windowText" lastClr="000000"/>
                </a:solidFill>
                <a:latin typeface="+mn-lt"/>
                <a:ea typeface="+mn-ea"/>
                <a:cs typeface="+mn-cs"/>
              </a:defRPr>
            </a:pPr>
            <a:r>
              <a:rPr lang="en-US" sz="1100" b="1" i="0" baseline="0">
                <a:solidFill>
                  <a:sysClr val="windowText" lastClr="000000"/>
                </a:solidFill>
                <a:effectLst/>
              </a:rPr>
              <a:t>Frequency-based Damage Reduction</a:t>
            </a:r>
            <a:endParaRPr lang="en-US" sz="1100">
              <a:solidFill>
                <a:sysClr val="windowText" lastClr="000000"/>
              </a:solidFill>
              <a:effectLst/>
            </a:endParaRPr>
          </a:p>
          <a:p>
            <a:pPr>
              <a:defRPr b="1">
                <a:solidFill>
                  <a:sysClr val="windowText" lastClr="000000"/>
                </a:solidFill>
              </a:defRPr>
            </a:pPr>
            <a:r>
              <a:rPr lang="en-US" sz="1100" b="1" i="0" baseline="0">
                <a:solidFill>
                  <a:sysClr val="windowText" lastClr="000000"/>
                </a:solidFill>
                <a:effectLst/>
              </a:rPr>
              <a:t>Study Area: </a:t>
            </a:r>
            <a:r>
              <a:rPr lang="en-US" sz="1100" b="0" i="0" baseline="0">
                <a:solidFill>
                  <a:sysClr val="windowText" lastClr="000000"/>
                </a:solidFill>
                <a:effectLst/>
              </a:rPr>
              <a:t>Carrol Creek, MD</a:t>
            </a:r>
            <a:endParaRPr lang="en-US" sz="1100">
              <a:solidFill>
                <a:sysClr val="windowText" lastClr="000000"/>
              </a:solidFill>
              <a:effectLst/>
            </a:endParaRPr>
          </a:p>
          <a:p>
            <a:pPr>
              <a:defRPr b="1">
                <a:solidFill>
                  <a:sysClr val="windowText" lastClr="000000"/>
                </a:solidFill>
              </a:defRPr>
            </a:pPr>
            <a:r>
              <a:rPr lang="en-US" sz="1100" b="1" i="0" baseline="0">
                <a:solidFill>
                  <a:sysClr val="windowText" lastClr="000000"/>
                </a:solidFill>
                <a:effectLst/>
              </a:rPr>
              <a:t>Scenario: </a:t>
            </a:r>
            <a:r>
              <a:rPr lang="en-US" sz="1100" b="0" i="0" baseline="0">
                <a:solidFill>
                  <a:sysClr val="windowText" lastClr="000000"/>
                </a:solidFill>
                <a:effectLst/>
              </a:rPr>
              <a:t>Load Source BMP, Group 2-3 Conversion</a:t>
            </a:r>
            <a:endParaRPr lang="en-US" sz="1100">
              <a:solidFill>
                <a:sysClr val="windowText" lastClr="000000"/>
              </a:solidFill>
              <a:effectLst/>
            </a:endParaRPr>
          </a:p>
        </c:rich>
      </c:tx>
      <c:layout>
        <c:manualLayout>
          <c:xMode val="edge"/>
          <c:yMode val="edge"/>
          <c:x val="0.35577744434774533"/>
          <c:y val="1.1125375159651122E-2"/>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ysClr val="windowText" lastClr="000000"/>
              </a:solidFill>
              <a:latin typeface="+mn-lt"/>
              <a:ea typeface="+mn-ea"/>
              <a:cs typeface="+mn-cs"/>
            </a:defRPr>
          </a:pPr>
          <a:endParaRPr lang="en-US"/>
        </a:p>
      </c:txPr>
    </c:title>
    <c:autoTitleDeleted val="0"/>
    <c:plotArea>
      <c:layout>
        <c:manualLayout>
          <c:layoutTarget val="inner"/>
          <c:xMode val="edge"/>
          <c:yMode val="edge"/>
          <c:x val="0.13453897404836229"/>
          <c:y val="0.13639468900510329"/>
          <c:w val="0.7895317094271902"/>
          <c:h val="0.81178116475606177"/>
        </c:manualLayout>
      </c:layout>
      <c:scatterChart>
        <c:scatterStyle val="lineMarker"/>
        <c:varyColors val="0"/>
        <c:ser>
          <c:idx val="5"/>
          <c:order val="0"/>
          <c:tx>
            <c:strRef>
              <c:f>'CarrolCreek_Load Source'!$C$16</c:f>
              <c:strCache>
                <c:ptCount val="1"/>
                <c:pt idx="0">
                  <c:v>5% Grp 2-3</c:v>
                </c:pt>
              </c:strCache>
            </c:strRef>
          </c:tx>
          <c:spPr>
            <a:ln w="19050" cap="rnd">
              <a:solidFill>
                <a:schemeClr val="accent6"/>
              </a:solidFill>
              <a:round/>
            </a:ln>
            <a:effectLst/>
          </c:spPr>
          <c:marker>
            <c:symbol val="circle"/>
            <c:size val="5"/>
            <c:spPr>
              <a:solidFill>
                <a:schemeClr val="accent6"/>
              </a:solidFill>
              <a:ln w="9525">
                <a:solidFill>
                  <a:schemeClr val="accent6"/>
                </a:solidFill>
              </a:ln>
              <a:effectLst/>
            </c:spPr>
          </c:marker>
          <c:xVal>
            <c:numRef>
              <c:f>'CarrolCreek_Load Source'!$A$17:$A$20</c:f>
              <c:numCache>
                <c:formatCode>General</c:formatCode>
                <c:ptCount val="4"/>
                <c:pt idx="0">
                  <c:v>0.1</c:v>
                </c:pt>
                <c:pt idx="1">
                  <c:v>0.02</c:v>
                </c:pt>
                <c:pt idx="2">
                  <c:v>0.01</c:v>
                </c:pt>
                <c:pt idx="3">
                  <c:v>2E-3</c:v>
                </c:pt>
              </c:numCache>
            </c:numRef>
          </c:xVal>
          <c:yVal>
            <c:numRef>
              <c:f>'CarrolCreek_Load Source'!$H$17:$H$20</c:f>
              <c:numCache>
                <c:formatCode>"$"#,##0</c:formatCode>
                <c:ptCount val="4"/>
                <c:pt idx="0">
                  <c:v>21163.560058594041</c:v>
                </c:pt>
                <c:pt idx="1">
                  <c:v>108736.3351898184</c:v>
                </c:pt>
                <c:pt idx="2">
                  <c:v>177196.02601623582</c:v>
                </c:pt>
                <c:pt idx="3">
                  <c:v>829859.35723877512</c:v>
                </c:pt>
              </c:numCache>
            </c:numRef>
          </c:yVal>
          <c:smooth val="0"/>
          <c:extLst>
            <c:ext xmlns:c16="http://schemas.microsoft.com/office/drawing/2014/chart" uri="{C3380CC4-5D6E-409C-BE32-E72D297353CC}">
              <c16:uniqueId val="{00000000-6B67-4A3C-9239-405B9BA773DE}"/>
            </c:ext>
          </c:extLst>
        </c:ser>
        <c:ser>
          <c:idx val="0"/>
          <c:order val="1"/>
          <c:tx>
            <c:strRef>
              <c:f>'CarrolCreek_Load Source'!$C$23</c:f>
              <c:strCache>
                <c:ptCount val="1"/>
                <c:pt idx="0">
                  <c:v>25% Grp 2-3</c:v>
                </c:pt>
              </c:strCache>
            </c:strRef>
          </c:tx>
          <c:spPr>
            <a:ln w="19050" cap="rnd">
              <a:solidFill>
                <a:schemeClr val="accent1"/>
              </a:solidFill>
              <a:round/>
            </a:ln>
            <a:effectLst/>
          </c:spPr>
          <c:marker>
            <c:symbol val="circle"/>
            <c:size val="5"/>
            <c:spPr>
              <a:solidFill>
                <a:schemeClr val="accent1"/>
              </a:solidFill>
              <a:ln w="9525">
                <a:solidFill>
                  <a:schemeClr val="accent1"/>
                </a:solidFill>
              </a:ln>
              <a:effectLst/>
            </c:spPr>
          </c:marker>
          <c:xVal>
            <c:numRef>
              <c:f>'CarrolCreek_Load Source'!$A$24:$A$27</c:f>
              <c:numCache>
                <c:formatCode>General</c:formatCode>
                <c:ptCount val="4"/>
                <c:pt idx="0">
                  <c:v>0.1</c:v>
                </c:pt>
                <c:pt idx="1">
                  <c:v>0.02</c:v>
                </c:pt>
                <c:pt idx="2">
                  <c:v>0.01</c:v>
                </c:pt>
                <c:pt idx="3">
                  <c:v>2E-3</c:v>
                </c:pt>
              </c:numCache>
            </c:numRef>
          </c:xVal>
          <c:yVal>
            <c:numRef>
              <c:f>'CarrolCreek_Load Source'!$H$24:$H$27</c:f>
              <c:numCache>
                <c:formatCode>"$"#,##0</c:formatCode>
                <c:ptCount val="4"/>
                <c:pt idx="0">
                  <c:v>113975.62594604498</c:v>
                </c:pt>
                <c:pt idx="1">
                  <c:v>564965.99331664899</c:v>
                </c:pt>
                <c:pt idx="2">
                  <c:v>911508.9978637672</c:v>
                </c:pt>
                <c:pt idx="3">
                  <c:v>3621211.4542999249</c:v>
                </c:pt>
              </c:numCache>
            </c:numRef>
          </c:yVal>
          <c:smooth val="0"/>
          <c:extLst>
            <c:ext xmlns:c16="http://schemas.microsoft.com/office/drawing/2014/chart" uri="{C3380CC4-5D6E-409C-BE32-E72D297353CC}">
              <c16:uniqueId val="{00000000-8347-493D-B689-2FA0480B1D49}"/>
            </c:ext>
          </c:extLst>
        </c:ser>
        <c:ser>
          <c:idx val="1"/>
          <c:order val="2"/>
          <c:tx>
            <c:strRef>
              <c:f>'CarrolCreek_Load Source'!$C$30</c:f>
              <c:strCache>
                <c:ptCount val="1"/>
                <c:pt idx="0">
                  <c:v>50% Grp 2-3</c:v>
                </c:pt>
              </c:strCache>
            </c:strRef>
          </c:tx>
          <c:spPr>
            <a:ln w="19050" cap="rnd">
              <a:solidFill>
                <a:schemeClr val="accent2"/>
              </a:solidFill>
              <a:round/>
            </a:ln>
            <a:effectLst/>
          </c:spPr>
          <c:marker>
            <c:symbol val="circle"/>
            <c:size val="5"/>
            <c:spPr>
              <a:solidFill>
                <a:schemeClr val="accent2"/>
              </a:solidFill>
              <a:ln w="9525">
                <a:solidFill>
                  <a:schemeClr val="accent2"/>
                </a:solidFill>
              </a:ln>
              <a:effectLst/>
            </c:spPr>
          </c:marker>
          <c:xVal>
            <c:numRef>
              <c:f>'CarrolCreek_Load Source'!$A$31:$A$34</c:f>
              <c:numCache>
                <c:formatCode>General</c:formatCode>
                <c:ptCount val="4"/>
                <c:pt idx="0">
                  <c:v>0.1</c:v>
                </c:pt>
                <c:pt idx="1">
                  <c:v>0.02</c:v>
                </c:pt>
                <c:pt idx="2">
                  <c:v>0.01</c:v>
                </c:pt>
                <c:pt idx="3">
                  <c:v>2E-3</c:v>
                </c:pt>
              </c:numCache>
            </c:numRef>
          </c:xVal>
          <c:yVal>
            <c:numRef>
              <c:f>'CarrolCreek_Load Source'!$H$31:$H$34</c:f>
              <c:numCache>
                <c:formatCode>"$"#,##0</c:formatCode>
                <c:ptCount val="4"/>
                <c:pt idx="0">
                  <c:v>201787.80877685556</c:v>
                </c:pt>
                <c:pt idx="1">
                  <c:v>1063970.6124267555</c:v>
                </c:pt>
                <c:pt idx="2">
                  <c:v>1536991.7346801739</c:v>
                </c:pt>
                <c:pt idx="3">
                  <c:v>6396130.0789337112</c:v>
                </c:pt>
              </c:numCache>
            </c:numRef>
          </c:yVal>
          <c:smooth val="0"/>
          <c:extLst>
            <c:ext xmlns:c16="http://schemas.microsoft.com/office/drawing/2014/chart" uri="{C3380CC4-5D6E-409C-BE32-E72D297353CC}">
              <c16:uniqueId val="{00000001-8347-493D-B689-2FA0480B1D49}"/>
            </c:ext>
          </c:extLst>
        </c:ser>
        <c:ser>
          <c:idx val="2"/>
          <c:order val="3"/>
          <c:tx>
            <c:strRef>
              <c:f>'CarrolCreek_Load Source'!$C$37</c:f>
              <c:strCache>
                <c:ptCount val="1"/>
                <c:pt idx="0">
                  <c:v>75% Grp 2-3</c:v>
                </c:pt>
              </c:strCache>
            </c:strRef>
          </c:tx>
          <c:spPr>
            <a:ln w="19050" cap="rnd">
              <a:solidFill>
                <a:schemeClr val="accent3"/>
              </a:solidFill>
              <a:round/>
            </a:ln>
            <a:effectLst/>
          </c:spPr>
          <c:marker>
            <c:symbol val="circle"/>
            <c:size val="5"/>
            <c:spPr>
              <a:solidFill>
                <a:schemeClr val="accent3"/>
              </a:solidFill>
              <a:ln w="9525">
                <a:solidFill>
                  <a:schemeClr val="accent3"/>
                </a:solidFill>
              </a:ln>
              <a:effectLst/>
            </c:spPr>
          </c:marker>
          <c:xVal>
            <c:numRef>
              <c:f>'CarrolCreek_Load Source'!$A$38:$A$41</c:f>
              <c:numCache>
                <c:formatCode>General</c:formatCode>
                <c:ptCount val="4"/>
                <c:pt idx="0">
                  <c:v>0.1</c:v>
                </c:pt>
                <c:pt idx="1">
                  <c:v>0.02</c:v>
                </c:pt>
                <c:pt idx="2">
                  <c:v>0.01</c:v>
                </c:pt>
                <c:pt idx="3">
                  <c:v>2E-3</c:v>
                </c:pt>
              </c:numCache>
            </c:numRef>
          </c:xVal>
          <c:yVal>
            <c:numRef>
              <c:f>'CarrolCreek_Load Source'!$H$38:$H$41</c:f>
              <c:numCache>
                <c:formatCode>"$"#,##0</c:formatCode>
                <c:ptCount val="4"/>
                <c:pt idx="0">
                  <c:v>272248.52362060535</c:v>
                </c:pt>
                <c:pt idx="1">
                  <c:v>1349554.6627960177</c:v>
                </c:pt>
                <c:pt idx="2">
                  <c:v>1856502.8342590318</c:v>
                </c:pt>
                <c:pt idx="3">
                  <c:v>8022917.1306457464</c:v>
                </c:pt>
              </c:numCache>
            </c:numRef>
          </c:yVal>
          <c:smooth val="0"/>
          <c:extLst>
            <c:ext xmlns:c16="http://schemas.microsoft.com/office/drawing/2014/chart" uri="{C3380CC4-5D6E-409C-BE32-E72D297353CC}">
              <c16:uniqueId val="{00000002-8347-493D-B689-2FA0480B1D49}"/>
            </c:ext>
          </c:extLst>
        </c:ser>
        <c:ser>
          <c:idx val="3"/>
          <c:order val="4"/>
          <c:tx>
            <c:strRef>
              <c:f>'CarrolCreek_Load Source'!$C$44</c:f>
              <c:strCache>
                <c:ptCount val="1"/>
                <c:pt idx="0">
                  <c:v>100% Grp 2-3</c:v>
                </c:pt>
              </c:strCache>
            </c:strRef>
          </c:tx>
          <c:spPr>
            <a:ln w="19050" cap="rnd">
              <a:solidFill>
                <a:schemeClr val="accent4"/>
              </a:solidFill>
              <a:round/>
            </a:ln>
            <a:effectLst/>
          </c:spPr>
          <c:marker>
            <c:symbol val="circle"/>
            <c:size val="5"/>
            <c:spPr>
              <a:solidFill>
                <a:schemeClr val="accent4"/>
              </a:solidFill>
              <a:ln w="9525">
                <a:solidFill>
                  <a:schemeClr val="accent4"/>
                </a:solidFill>
              </a:ln>
              <a:effectLst/>
            </c:spPr>
          </c:marker>
          <c:xVal>
            <c:numRef>
              <c:f>'CarrolCreek_Load Source'!$A$45:$A$48</c:f>
              <c:numCache>
                <c:formatCode>General</c:formatCode>
                <c:ptCount val="4"/>
                <c:pt idx="0">
                  <c:v>0.1</c:v>
                </c:pt>
                <c:pt idx="1">
                  <c:v>0.02</c:v>
                </c:pt>
                <c:pt idx="2">
                  <c:v>0.01</c:v>
                </c:pt>
                <c:pt idx="3">
                  <c:v>2E-3</c:v>
                </c:pt>
              </c:numCache>
            </c:numRef>
          </c:xVal>
          <c:yVal>
            <c:numRef>
              <c:f>'CarrolCreek_Load Source'!$H$45:$H$48</c:f>
              <c:numCache>
                <c:formatCode>"$"#,##0</c:formatCode>
                <c:ptCount val="4"/>
                <c:pt idx="0">
                  <c:v>315422.18316650373</c:v>
                </c:pt>
                <c:pt idx="1">
                  <c:v>1714045.4607391322</c:v>
                </c:pt>
                <c:pt idx="2">
                  <c:v>2191978.5864868145</c:v>
                </c:pt>
                <c:pt idx="3">
                  <c:v>9291758.8656158373</c:v>
                </c:pt>
              </c:numCache>
            </c:numRef>
          </c:yVal>
          <c:smooth val="0"/>
          <c:extLst>
            <c:ext xmlns:c16="http://schemas.microsoft.com/office/drawing/2014/chart" uri="{C3380CC4-5D6E-409C-BE32-E72D297353CC}">
              <c16:uniqueId val="{00000003-8347-493D-B689-2FA0480B1D49}"/>
            </c:ext>
          </c:extLst>
        </c:ser>
        <c:dLbls>
          <c:showLegendKey val="0"/>
          <c:showVal val="0"/>
          <c:showCatName val="0"/>
          <c:showSerName val="0"/>
          <c:showPercent val="0"/>
          <c:showBubbleSize val="0"/>
        </c:dLbls>
        <c:axId val="585063312"/>
        <c:axId val="585061672"/>
        <c:extLst/>
      </c:scatterChart>
      <c:valAx>
        <c:axId val="585063312"/>
        <c:scaling>
          <c:logBase val="10"/>
          <c:orientation val="minMax"/>
          <c:max val="1"/>
        </c:scaling>
        <c:delete val="0"/>
        <c:axPos val="b"/>
        <c:title>
          <c:tx>
            <c:rich>
              <a:bodyPr rot="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r>
                  <a:rPr lang="en-US" b="1"/>
                  <a:t>Exceedance Probability</a:t>
                </a:r>
              </a:p>
            </c:rich>
          </c:tx>
          <c:overlay val="0"/>
          <c:spPr>
            <a:noFill/>
            <a:ln>
              <a:noFill/>
            </a:ln>
            <a:effectLst/>
          </c:spPr>
          <c:txPr>
            <a:bodyPr rot="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585061672"/>
        <c:crosses val="autoZero"/>
        <c:crossBetween val="midCat"/>
      </c:valAx>
      <c:valAx>
        <c:axId val="585061672"/>
        <c:scaling>
          <c:orientation val="minMax"/>
          <c:max val="100000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1" i="0" u="none" strike="noStrike" kern="1200" baseline="0">
                    <a:solidFill>
                      <a:sysClr val="windowText" lastClr="000000"/>
                    </a:solidFill>
                    <a:latin typeface="+mn-lt"/>
                    <a:ea typeface="+mn-ea"/>
                    <a:cs typeface="+mn-cs"/>
                  </a:defRPr>
                </a:pPr>
                <a:r>
                  <a:rPr lang="en-US" b="1">
                    <a:solidFill>
                      <a:sysClr val="windowText" lastClr="000000"/>
                    </a:solidFill>
                  </a:rPr>
                  <a:t>Damage Reduction ($)</a:t>
                </a:r>
              </a:p>
            </c:rich>
          </c:tx>
          <c:layout>
            <c:manualLayout>
              <c:xMode val="edge"/>
              <c:yMode val="edge"/>
              <c:x val="2.7945448912427152E-2"/>
              <c:y val="0.35546791945124506"/>
            </c:manualLayout>
          </c:layout>
          <c:overlay val="0"/>
          <c:spPr>
            <a:noFill/>
            <a:ln>
              <a:noFill/>
            </a:ln>
            <a:effectLst/>
          </c:spPr>
          <c:txPr>
            <a:bodyPr rot="-5400000" spcFirstLastPara="1" vertOverflow="ellipsis" vert="horz" wrap="square" anchor="ctr" anchorCtr="1"/>
            <a:lstStyle/>
            <a:p>
              <a:pPr>
                <a:defRPr sz="1000" b="1" i="0" u="none" strike="noStrike" kern="1200" baseline="0">
                  <a:solidFill>
                    <a:sysClr val="windowText" lastClr="000000"/>
                  </a:solidFill>
                  <a:latin typeface="+mn-lt"/>
                  <a:ea typeface="+mn-ea"/>
                  <a:cs typeface="+mn-cs"/>
                </a:defRPr>
              </a:pPr>
              <a:endParaRPr lang="en-US"/>
            </a:p>
          </c:txPr>
        </c:title>
        <c:numFmt formatCode="&quot;$&quot;#,##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n-US"/>
          </a:p>
        </c:txPr>
        <c:crossAx val="585063312"/>
        <c:crossesAt val="1.0000000000000003E-4"/>
        <c:crossBetween val="midCat"/>
      </c:valAx>
      <c:spPr>
        <a:noFill/>
        <a:ln w="12700">
          <a:solidFill>
            <a:sysClr val="windowText" lastClr="000000"/>
          </a:solidFill>
        </a:ln>
        <a:effectLst/>
      </c:spPr>
    </c:plotArea>
    <c:legend>
      <c:legendPos val="r"/>
      <c:layout>
        <c:manualLayout>
          <c:xMode val="edge"/>
          <c:yMode val="edge"/>
          <c:x val="0.75070994269207469"/>
          <c:y val="0.2194769386969801"/>
          <c:w val="0.15232475396394179"/>
          <c:h val="0.56777456442148111"/>
        </c:manualLayout>
      </c:layout>
      <c:overlay val="0"/>
      <c:spPr>
        <a:solidFill>
          <a:schemeClr val="bg1"/>
        </a:solidFill>
        <a:ln>
          <a:solidFill>
            <a:schemeClr val="tx1"/>
          </a:solidFill>
        </a:ln>
        <a:effectLst/>
      </c:spPr>
      <c:txPr>
        <a:bodyPr rot="0" spcFirstLastPara="1" vertOverflow="ellipsis" vert="horz" wrap="square" anchor="ctr" anchorCtr="1"/>
        <a:lstStyle/>
        <a:p>
          <a:pPr>
            <a:defRPr sz="1400" b="0" i="0" u="none" strike="noStrike" kern="1200" baseline="0">
              <a:solidFill>
                <a:sysClr val="windowText" lastClr="000000"/>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12700"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ysClr val="windowText" lastClr="000000"/>
                </a:solidFill>
                <a:latin typeface="+mn-lt"/>
                <a:ea typeface="+mn-ea"/>
                <a:cs typeface="+mn-cs"/>
              </a:defRPr>
            </a:pPr>
            <a:r>
              <a:rPr lang="en-US" sz="1100" b="1" i="0" baseline="0">
                <a:solidFill>
                  <a:sysClr val="windowText" lastClr="000000"/>
                </a:solidFill>
                <a:effectLst/>
              </a:rPr>
              <a:t>Frequency-based Damage Reduction</a:t>
            </a:r>
            <a:endParaRPr lang="en-US" sz="1100">
              <a:solidFill>
                <a:sysClr val="windowText" lastClr="000000"/>
              </a:solidFill>
              <a:effectLst/>
            </a:endParaRPr>
          </a:p>
          <a:p>
            <a:pPr>
              <a:defRPr b="1">
                <a:solidFill>
                  <a:sysClr val="windowText" lastClr="000000"/>
                </a:solidFill>
              </a:defRPr>
            </a:pPr>
            <a:r>
              <a:rPr lang="en-US" sz="1100" b="1" i="0" baseline="0">
                <a:solidFill>
                  <a:sysClr val="windowText" lastClr="000000"/>
                </a:solidFill>
                <a:effectLst/>
              </a:rPr>
              <a:t>Study Area: </a:t>
            </a:r>
            <a:r>
              <a:rPr lang="en-US" sz="1100" b="0" i="0" baseline="0">
                <a:solidFill>
                  <a:sysClr val="windowText" lastClr="000000"/>
                </a:solidFill>
                <a:effectLst/>
              </a:rPr>
              <a:t>Carrol Creek, MD</a:t>
            </a:r>
            <a:endParaRPr lang="en-US" sz="1100">
              <a:solidFill>
                <a:sysClr val="windowText" lastClr="000000"/>
              </a:solidFill>
              <a:effectLst/>
            </a:endParaRPr>
          </a:p>
          <a:p>
            <a:pPr>
              <a:defRPr b="1">
                <a:solidFill>
                  <a:sysClr val="windowText" lastClr="000000"/>
                </a:solidFill>
              </a:defRPr>
            </a:pPr>
            <a:r>
              <a:rPr lang="en-US" sz="1100" b="1" i="0" baseline="0">
                <a:solidFill>
                  <a:sysClr val="windowText" lastClr="000000"/>
                </a:solidFill>
                <a:effectLst/>
              </a:rPr>
              <a:t>Scenario: </a:t>
            </a:r>
            <a:r>
              <a:rPr lang="en-US" sz="1100" b="0" i="0" baseline="0">
                <a:solidFill>
                  <a:sysClr val="windowText" lastClr="000000"/>
                </a:solidFill>
                <a:effectLst/>
              </a:rPr>
              <a:t>Load Source BMP, Group 1-2 Conversion</a:t>
            </a:r>
            <a:endParaRPr lang="en-US" sz="1100">
              <a:solidFill>
                <a:sysClr val="windowText" lastClr="000000"/>
              </a:solidFill>
              <a:effectLst/>
            </a:endParaRPr>
          </a:p>
        </c:rich>
      </c:tx>
      <c:layout>
        <c:manualLayout>
          <c:xMode val="edge"/>
          <c:yMode val="edge"/>
          <c:x val="0.35577744434774533"/>
          <c:y val="1.1125375159651122E-2"/>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ysClr val="windowText" lastClr="000000"/>
              </a:solidFill>
              <a:latin typeface="+mn-lt"/>
              <a:ea typeface="+mn-ea"/>
              <a:cs typeface="+mn-cs"/>
            </a:defRPr>
          </a:pPr>
          <a:endParaRPr lang="en-US"/>
        </a:p>
      </c:txPr>
    </c:title>
    <c:autoTitleDeleted val="0"/>
    <c:plotArea>
      <c:layout>
        <c:manualLayout>
          <c:layoutTarget val="inner"/>
          <c:xMode val="edge"/>
          <c:yMode val="edge"/>
          <c:x val="0.13453897404836229"/>
          <c:y val="0.13639468900510329"/>
          <c:w val="0.7895317094271902"/>
          <c:h val="0.81178116475606177"/>
        </c:manualLayout>
      </c:layout>
      <c:scatterChart>
        <c:scatterStyle val="lineMarker"/>
        <c:varyColors val="0"/>
        <c:ser>
          <c:idx val="0"/>
          <c:order val="0"/>
          <c:tx>
            <c:strRef>
              <c:f>'CarrolCreek_Load Source'!$C$52</c:f>
              <c:strCache>
                <c:ptCount val="1"/>
                <c:pt idx="0">
                  <c:v>100% Grp 1-2</c:v>
                </c:pt>
              </c:strCache>
            </c:strRef>
          </c:tx>
          <c:spPr>
            <a:ln w="19050" cap="rnd">
              <a:solidFill>
                <a:schemeClr val="tx1"/>
              </a:solidFill>
              <a:round/>
            </a:ln>
            <a:effectLst/>
          </c:spPr>
          <c:marker>
            <c:symbol val="circle"/>
            <c:size val="5"/>
            <c:spPr>
              <a:solidFill>
                <a:schemeClr val="tx1"/>
              </a:solidFill>
              <a:ln w="9525">
                <a:solidFill>
                  <a:schemeClr val="tx1"/>
                </a:solidFill>
              </a:ln>
              <a:effectLst/>
            </c:spPr>
          </c:marker>
          <c:xVal>
            <c:numRef>
              <c:f>'CarrolCreek_Load Source'!$A$53:$A$56</c:f>
              <c:numCache>
                <c:formatCode>General</c:formatCode>
                <c:ptCount val="4"/>
                <c:pt idx="0">
                  <c:v>0.1</c:v>
                </c:pt>
                <c:pt idx="1">
                  <c:v>0.02</c:v>
                </c:pt>
                <c:pt idx="2">
                  <c:v>0.01</c:v>
                </c:pt>
                <c:pt idx="3">
                  <c:v>2E-3</c:v>
                </c:pt>
              </c:numCache>
            </c:numRef>
          </c:xVal>
          <c:yVal>
            <c:numRef>
              <c:f>'CarrolCreek_Load Source'!$H$53:$H$56</c:f>
              <c:numCache>
                <c:formatCode>"$"#,##0</c:formatCode>
                <c:ptCount val="4"/>
                <c:pt idx="0">
                  <c:v>43312.228363037459</c:v>
                </c:pt>
                <c:pt idx="1">
                  <c:v>140126.13041687105</c:v>
                </c:pt>
                <c:pt idx="2">
                  <c:v>332997.22416686779</c:v>
                </c:pt>
                <c:pt idx="3">
                  <c:v>1488152.6805267334</c:v>
                </c:pt>
              </c:numCache>
            </c:numRef>
          </c:yVal>
          <c:smooth val="0"/>
          <c:extLst>
            <c:ext xmlns:c16="http://schemas.microsoft.com/office/drawing/2014/chart" uri="{C3380CC4-5D6E-409C-BE32-E72D297353CC}">
              <c16:uniqueId val="{00000005-0FD9-43D6-BCAA-4F90CCA3B9E3}"/>
            </c:ext>
          </c:extLst>
        </c:ser>
        <c:ser>
          <c:idx val="1"/>
          <c:order val="1"/>
          <c:tx>
            <c:v>25% Grp 1-2</c:v>
          </c:tx>
          <c:spPr>
            <a:ln w="19050" cap="rnd">
              <a:solidFill>
                <a:schemeClr val="accent2"/>
              </a:solidFill>
              <a:round/>
            </a:ln>
            <a:effectLst/>
          </c:spPr>
          <c:marker>
            <c:symbol val="circle"/>
            <c:size val="5"/>
            <c:spPr>
              <a:solidFill>
                <a:schemeClr val="accent2"/>
              </a:solidFill>
              <a:ln w="9525">
                <a:solidFill>
                  <a:schemeClr val="accent2"/>
                </a:solidFill>
              </a:ln>
              <a:effectLst/>
            </c:spPr>
          </c:marker>
          <c:xVal>
            <c:numRef>
              <c:f>'CarrolCreek_Load Source'!$A$62:$A$65</c:f>
              <c:numCache>
                <c:formatCode>General</c:formatCode>
                <c:ptCount val="4"/>
                <c:pt idx="0">
                  <c:v>0.1</c:v>
                </c:pt>
                <c:pt idx="1">
                  <c:v>0.02</c:v>
                </c:pt>
                <c:pt idx="2">
                  <c:v>0.01</c:v>
                </c:pt>
                <c:pt idx="3">
                  <c:v>2E-3</c:v>
                </c:pt>
              </c:numCache>
            </c:numRef>
          </c:xVal>
          <c:yVal>
            <c:numRef>
              <c:f>'CarrolCreek_Load Source'!$H$62:$H$65</c:f>
              <c:numCache>
                <c:formatCode>"$"#,##0</c:formatCode>
                <c:ptCount val="4"/>
                <c:pt idx="0">
                  <c:v>10762.66934204119</c:v>
                </c:pt>
                <c:pt idx="1">
                  <c:v>35333.912719727494</c:v>
                </c:pt>
                <c:pt idx="2">
                  <c:v>81340.30506896833</c:v>
                </c:pt>
                <c:pt idx="3">
                  <c:v>420280.50573730655</c:v>
                </c:pt>
              </c:numCache>
            </c:numRef>
          </c:yVal>
          <c:smooth val="0"/>
          <c:extLst>
            <c:ext xmlns:c16="http://schemas.microsoft.com/office/drawing/2014/chart" uri="{C3380CC4-5D6E-409C-BE32-E72D297353CC}">
              <c16:uniqueId val="{00000001-A56E-4C00-B5F0-EF34F4CA097E}"/>
            </c:ext>
          </c:extLst>
        </c:ser>
        <c:dLbls>
          <c:showLegendKey val="0"/>
          <c:showVal val="0"/>
          <c:showCatName val="0"/>
          <c:showSerName val="0"/>
          <c:showPercent val="0"/>
          <c:showBubbleSize val="0"/>
        </c:dLbls>
        <c:axId val="585063312"/>
        <c:axId val="585061672"/>
        <c:extLst/>
      </c:scatterChart>
      <c:valAx>
        <c:axId val="585063312"/>
        <c:scaling>
          <c:logBase val="10"/>
          <c:orientation val="minMax"/>
          <c:max val="1"/>
        </c:scaling>
        <c:delete val="0"/>
        <c:axPos val="b"/>
        <c:title>
          <c:tx>
            <c:rich>
              <a:bodyPr rot="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r>
                  <a:rPr lang="en-US" b="1"/>
                  <a:t>Exceedance Probability</a:t>
                </a:r>
              </a:p>
            </c:rich>
          </c:tx>
          <c:overlay val="0"/>
          <c:spPr>
            <a:noFill/>
            <a:ln>
              <a:noFill/>
            </a:ln>
            <a:effectLst/>
          </c:spPr>
          <c:txPr>
            <a:bodyPr rot="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585061672"/>
        <c:crosses val="autoZero"/>
        <c:crossBetween val="midCat"/>
      </c:valAx>
      <c:valAx>
        <c:axId val="585061672"/>
        <c:scaling>
          <c:orientation val="minMax"/>
          <c:max val="20000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1" i="0" u="none" strike="noStrike" kern="1200" baseline="0">
                    <a:solidFill>
                      <a:sysClr val="windowText" lastClr="000000"/>
                    </a:solidFill>
                    <a:latin typeface="+mn-lt"/>
                    <a:ea typeface="+mn-ea"/>
                    <a:cs typeface="+mn-cs"/>
                  </a:defRPr>
                </a:pPr>
                <a:r>
                  <a:rPr lang="en-US" b="1">
                    <a:solidFill>
                      <a:sysClr val="windowText" lastClr="000000"/>
                    </a:solidFill>
                  </a:rPr>
                  <a:t>Damage Reduction ($)</a:t>
                </a:r>
              </a:p>
            </c:rich>
          </c:tx>
          <c:layout>
            <c:manualLayout>
              <c:xMode val="edge"/>
              <c:yMode val="edge"/>
              <c:x val="2.7945448912427152E-2"/>
              <c:y val="0.35546791945124506"/>
            </c:manualLayout>
          </c:layout>
          <c:overlay val="0"/>
          <c:spPr>
            <a:noFill/>
            <a:ln>
              <a:noFill/>
            </a:ln>
            <a:effectLst/>
          </c:spPr>
          <c:txPr>
            <a:bodyPr rot="-5400000" spcFirstLastPara="1" vertOverflow="ellipsis" vert="horz" wrap="square" anchor="ctr" anchorCtr="1"/>
            <a:lstStyle/>
            <a:p>
              <a:pPr>
                <a:defRPr sz="1000" b="1" i="0" u="none" strike="noStrike" kern="1200" baseline="0">
                  <a:solidFill>
                    <a:sysClr val="windowText" lastClr="000000"/>
                  </a:solidFill>
                  <a:latin typeface="+mn-lt"/>
                  <a:ea typeface="+mn-ea"/>
                  <a:cs typeface="+mn-cs"/>
                </a:defRPr>
              </a:pPr>
              <a:endParaRPr lang="en-US"/>
            </a:p>
          </c:txPr>
        </c:title>
        <c:numFmt formatCode="&quot;$&quot;#,##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n-US"/>
          </a:p>
        </c:txPr>
        <c:crossAx val="585063312"/>
        <c:crossesAt val="1.0000000000000003E-4"/>
        <c:crossBetween val="midCat"/>
      </c:valAx>
      <c:spPr>
        <a:noFill/>
        <a:ln w="12700">
          <a:solidFill>
            <a:sysClr val="windowText" lastClr="000000"/>
          </a:solidFill>
        </a:ln>
        <a:effectLst/>
      </c:spPr>
    </c:plotArea>
    <c:legend>
      <c:legendPos val="r"/>
      <c:layout>
        <c:manualLayout>
          <c:xMode val="edge"/>
          <c:yMode val="edge"/>
          <c:x val="0.6611401429142868"/>
          <c:y val="0.22502717756482463"/>
          <c:w val="0.15997955646990356"/>
          <c:h val="0.12720564375593399"/>
        </c:manualLayout>
      </c:layout>
      <c:overlay val="0"/>
      <c:spPr>
        <a:solidFill>
          <a:schemeClr val="bg1"/>
        </a:solidFill>
        <a:ln>
          <a:solidFill>
            <a:schemeClr val="tx1"/>
          </a:solidFill>
        </a:ln>
        <a:effectLst/>
      </c:spPr>
      <c:txPr>
        <a:bodyPr rot="0" spcFirstLastPara="1" vertOverflow="ellipsis" vert="horz" wrap="square" anchor="ctr" anchorCtr="1"/>
        <a:lstStyle/>
        <a:p>
          <a:pPr>
            <a:defRPr sz="1400" b="0" i="0" u="none" strike="noStrike" kern="1200" baseline="0">
              <a:solidFill>
                <a:sysClr val="windowText" lastClr="000000"/>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12700"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453897404836229"/>
          <c:y val="0.13639468900510329"/>
          <c:w val="0.7895317094271902"/>
          <c:h val="0.81178116475606177"/>
        </c:manualLayout>
      </c:layout>
      <c:scatterChart>
        <c:scatterStyle val="lineMarker"/>
        <c:varyColors val="0"/>
        <c:ser>
          <c:idx val="0"/>
          <c:order val="0"/>
          <c:tx>
            <c:v>25% Grp 2</c:v>
          </c:tx>
          <c:spPr>
            <a:ln w="19050" cap="rnd">
              <a:solidFill>
                <a:schemeClr val="accent1"/>
              </a:solidFill>
              <a:round/>
            </a:ln>
            <a:effectLst/>
          </c:spPr>
          <c:marker>
            <c:symbol val="circle"/>
            <c:size val="5"/>
            <c:spPr>
              <a:solidFill>
                <a:schemeClr val="accent1"/>
              </a:solidFill>
              <a:ln w="9525">
                <a:solidFill>
                  <a:schemeClr val="accent1"/>
                </a:solidFill>
              </a:ln>
              <a:effectLst/>
            </c:spPr>
          </c:marker>
          <c:xVal>
            <c:numRef>
              <c:f>CarrolCreek_Retention!$A$10:$A$13</c:f>
              <c:numCache>
                <c:formatCode>General</c:formatCode>
                <c:ptCount val="4"/>
                <c:pt idx="0">
                  <c:v>0.1</c:v>
                </c:pt>
                <c:pt idx="1">
                  <c:v>0.02</c:v>
                </c:pt>
                <c:pt idx="2">
                  <c:v>0.01</c:v>
                </c:pt>
                <c:pt idx="3">
                  <c:v>2E-3</c:v>
                </c:pt>
              </c:numCache>
            </c:numRef>
          </c:xVal>
          <c:yVal>
            <c:numRef>
              <c:f>CarrolCreek_Retention!$H$17:$H$20</c:f>
              <c:numCache>
                <c:formatCode>"$"#,##0</c:formatCode>
                <c:ptCount val="4"/>
                <c:pt idx="0">
                  <c:v>0</c:v>
                </c:pt>
                <c:pt idx="1">
                  <c:v>4.1909515857696533E-9</c:v>
                </c:pt>
                <c:pt idx="2">
                  <c:v>-21.630920409224927</c:v>
                </c:pt>
                <c:pt idx="3">
                  <c:v>0</c:v>
                </c:pt>
              </c:numCache>
            </c:numRef>
          </c:yVal>
          <c:smooth val="0"/>
          <c:extLst>
            <c:ext xmlns:c16="http://schemas.microsoft.com/office/drawing/2014/chart" uri="{C3380CC4-5D6E-409C-BE32-E72D297353CC}">
              <c16:uniqueId val="{00000000-D185-4570-A74B-B8A094B9DF44}"/>
            </c:ext>
          </c:extLst>
        </c:ser>
        <c:ser>
          <c:idx val="1"/>
          <c:order val="1"/>
          <c:tx>
            <c:v>50% Grp 2</c:v>
          </c:tx>
          <c:spPr>
            <a:ln w="19050" cap="rnd">
              <a:solidFill>
                <a:schemeClr val="accent2"/>
              </a:solidFill>
              <a:round/>
            </a:ln>
            <a:effectLst/>
          </c:spPr>
          <c:marker>
            <c:symbol val="circle"/>
            <c:size val="5"/>
            <c:spPr>
              <a:solidFill>
                <a:schemeClr val="accent2"/>
              </a:solidFill>
              <a:ln w="9525">
                <a:solidFill>
                  <a:schemeClr val="accent2"/>
                </a:solidFill>
              </a:ln>
              <a:effectLst/>
            </c:spPr>
          </c:marker>
          <c:xVal>
            <c:numRef>
              <c:f>CarrolCreek_Retention!$A$10:$A$13</c:f>
              <c:numCache>
                <c:formatCode>General</c:formatCode>
                <c:ptCount val="4"/>
                <c:pt idx="0">
                  <c:v>0.1</c:v>
                </c:pt>
                <c:pt idx="1">
                  <c:v>0.02</c:v>
                </c:pt>
                <c:pt idx="2">
                  <c:v>0.01</c:v>
                </c:pt>
                <c:pt idx="3">
                  <c:v>2E-3</c:v>
                </c:pt>
              </c:numCache>
            </c:numRef>
          </c:xVal>
          <c:yVal>
            <c:numRef>
              <c:f>CarrolCreek_Retention!$H$24:$H$27</c:f>
              <c:numCache>
                <c:formatCode>"$"#,##0</c:formatCode>
                <c:ptCount val="4"/>
                <c:pt idx="0">
                  <c:v>39819.354309082555</c:v>
                </c:pt>
                <c:pt idx="1">
                  <c:v>92309.518203737214</c:v>
                </c:pt>
                <c:pt idx="2">
                  <c:v>-21.630920409224927</c:v>
                </c:pt>
                <c:pt idx="3">
                  <c:v>0</c:v>
                </c:pt>
              </c:numCache>
            </c:numRef>
          </c:yVal>
          <c:smooth val="0"/>
          <c:extLst>
            <c:ext xmlns:c16="http://schemas.microsoft.com/office/drawing/2014/chart" uri="{C3380CC4-5D6E-409C-BE32-E72D297353CC}">
              <c16:uniqueId val="{00000001-D185-4570-A74B-B8A094B9DF44}"/>
            </c:ext>
          </c:extLst>
        </c:ser>
        <c:ser>
          <c:idx val="2"/>
          <c:order val="2"/>
          <c:tx>
            <c:v>75% Grp 2</c:v>
          </c:tx>
          <c:spPr>
            <a:ln w="19050" cap="rnd">
              <a:solidFill>
                <a:schemeClr val="accent3"/>
              </a:solidFill>
              <a:round/>
            </a:ln>
            <a:effectLst/>
          </c:spPr>
          <c:marker>
            <c:symbol val="circle"/>
            <c:size val="5"/>
            <c:spPr>
              <a:solidFill>
                <a:schemeClr val="accent3"/>
              </a:solidFill>
              <a:ln w="9525">
                <a:solidFill>
                  <a:schemeClr val="accent3"/>
                </a:solidFill>
              </a:ln>
              <a:effectLst/>
            </c:spPr>
          </c:marker>
          <c:xVal>
            <c:numRef>
              <c:f>CarrolCreek_Retention!$A$10:$A$13</c:f>
              <c:numCache>
                <c:formatCode>General</c:formatCode>
                <c:ptCount val="4"/>
                <c:pt idx="0">
                  <c:v>0.1</c:v>
                </c:pt>
                <c:pt idx="1">
                  <c:v>0.02</c:v>
                </c:pt>
                <c:pt idx="2">
                  <c:v>0.01</c:v>
                </c:pt>
                <c:pt idx="3">
                  <c:v>2E-3</c:v>
                </c:pt>
              </c:numCache>
            </c:numRef>
          </c:xVal>
          <c:yVal>
            <c:numRef>
              <c:f>CarrolCreek_Retention!$H$31:$H$34</c:f>
              <c:numCache>
                <c:formatCode>"$"#,##0</c:formatCode>
                <c:ptCount val="4"/>
                <c:pt idx="0">
                  <c:v>253846.07501220674</c:v>
                </c:pt>
                <c:pt idx="1">
                  <c:v>1254512.2593841548</c:v>
                </c:pt>
                <c:pt idx="2">
                  <c:v>-21.630920409224927</c:v>
                </c:pt>
                <c:pt idx="3">
                  <c:v>0</c:v>
                </c:pt>
              </c:numCache>
            </c:numRef>
          </c:yVal>
          <c:smooth val="0"/>
          <c:extLst>
            <c:ext xmlns:c16="http://schemas.microsoft.com/office/drawing/2014/chart" uri="{C3380CC4-5D6E-409C-BE32-E72D297353CC}">
              <c16:uniqueId val="{00000002-D185-4570-A74B-B8A094B9DF44}"/>
            </c:ext>
          </c:extLst>
        </c:ser>
        <c:ser>
          <c:idx val="3"/>
          <c:order val="3"/>
          <c:tx>
            <c:v>100% Grp 2</c:v>
          </c:tx>
          <c:spPr>
            <a:ln w="19050" cap="rnd">
              <a:solidFill>
                <a:schemeClr val="accent4"/>
              </a:solidFill>
              <a:round/>
            </a:ln>
            <a:effectLst/>
          </c:spPr>
          <c:marker>
            <c:symbol val="circle"/>
            <c:size val="5"/>
            <c:spPr>
              <a:solidFill>
                <a:schemeClr val="accent4"/>
              </a:solidFill>
              <a:ln w="9525">
                <a:solidFill>
                  <a:schemeClr val="accent4"/>
                </a:solidFill>
              </a:ln>
              <a:effectLst/>
            </c:spPr>
          </c:marker>
          <c:xVal>
            <c:numRef>
              <c:f>CarrolCreek_Retention!$A$10:$A$13</c:f>
              <c:numCache>
                <c:formatCode>General</c:formatCode>
                <c:ptCount val="4"/>
                <c:pt idx="0">
                  <c:v>0.1</c:v>
                </c:pt>
                <c:pt idx="1">
                  <c:v>0.02</c:v>
                </c:pt>
                <c:pt idx="2">
                  <c:v>0.01</c:v>
                </c:pt>
                <c:pt idx="3">
                  <c:v>2E-3</c:v>
                </c:pt>
              </c:numCache>
            </c:numRef>
          </c:xVal>
          <c:yVal>
            <c:numRef>
              <c:f>CarrolCreek_Retention!$H$38:$H$41</c:f>
              <c:numCache>
                <c:formatCode>"$"#,##0</c:formatCode>
                <c:ptCount val="4"/>
                <c:pt idx="0">
                  <c:v>352667.36340331996</c:v>
                </c:pt>
                <c:pt idx="1">
                  <c:v>1928237.6591491681</c:v>
                </c:pt>
                <c:pt idx="2">
                  <c:v>1121786.209091187</c:v>
                </c:pt>
                <c:pt idx="3">
                  <c:v>0</c:v>
                </c:pt>
              </c:numCache>
            </c:numRef>
          </c:yVal>
          <c:smooth val="0"/>
          <c:extLst>
            <c:ext xmlns:c16="http://schemas.microsoft.com/office/drawing/2014/chart" uri="{C3380CC4-5D6E-409C-BE32-E72D297353CC}">
              <c16:uniqueId val="{00000003-D185-4570-A74B-B8A094B9DF44}"/>
            </c:ext>
          </c:extLst>
        </c:ser>
        <c:dLbls>
          <c:showLegendKey val="0"/>
          <c:showVal val="0"/>
          <c:showCatName val="0"/>
          <c:showSerName val="0"/>
          <c:showPercent val="0"/>
          <c:showBubbleSize val="0"/>
        </c:dLbls>
        <c:axId val="585063312"/>
        <c:axId val="585061672"/>
        <c:extLst/>
      </c:scatterChart>
      <c:valAx>
        <c:axId val="585063312"/>
        <c:scaling>
          <c:logBase val="10"/>
          <c:orientation val="minMax"/>
          <c:max val="1"/>
        </c:scaling>
        <c:delete val="0"/>
        <c:axPos val="b"/>
        <c:title>
          <c:tx>
            <c:rich>
              <a:bodyPr rot="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r>
                  <a:rPr lang="en-US" b="1"/>
                  <a:t>Exceedance Probability</a:t>
                </a:r>
              </a:p>
            </c:rich>
          </c:tx>
          <c:overlay val="0"/>
          <c:spPr>
            <a:noFill/>
            <a:ln>
              <a:noFill/>
            </a:ln>
            <a:effectLst/>
          </c:spPr>
          <c:txPr>
            <a:bodyPr rot="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85061672"/>
        <c:crosses val="autoZero"/>
        <c:crossBetween val="midCat"/>
      </c:valAx>
      <c:valAx>
        <c:axId val="585061672"/>
        <c:scaling>
          <c:orientation val="minMax"/>
          <c:max val="20000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r>
                  <a:rPr lang="en-US" b="1"/>
                  <a:t>Damage Reduction ($)</a:t>
                </a:r>
              </a:p>
            </c:rich>
          </c:tx>
          <c:layout>
            <c:manualLayout>
              <c:xMode val="edge"/>
              <c:yMode val="edge"/>
              <c:x val="2.7945448912427152E-2"/>
              <c:y val="0.35546791945124506"/>
            </c:manualLayout>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n-US"/>
            </a:p>
          </c:txPr>
        </c:title>
        <c:numFmt formatCode="&quot;$&quot;#,##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n-US"/>
          </a:p>
        </c:txPr>
        <c:crossAx val="585063312"/>
        <c:crossesAt val="1.0000000000000003E-4"/>
        <c:crossBetween val="midCat"/>
      </c:valAx>
      <c:spPr>
        <a:noFill/>
        <a:ln w="12700">
          <a:solidFill>
            <a:sysClr val="windowText" lastClr="000000"/>
          </a:solidFill>
        </a:ln>
        <a:effectLst/>
      </c:spPr>
    </c:plotArea>
    <c:legend>
      <c:legendPos val="r"/>
      <c:layout>
        <c:manualLayout>
          <c:xMode val="edge"/>
          <c:yMode val="edge"/>
          <c:x val="0.75070994269207469"/>
          <c:y val="0.2194769386969801"/>
          <c:w val="0.14692261100498535"/>
          <c:h val="0.7067299191223283"/>
        </c:manualLayout>
      </c:layout>
      <c:overlay val="0"/>
      <c:spPr>
        <a:solidFill>
          <a:schemeClr val="bg1"/>
        </a:solidFill>
        <a:ln>
          <a:solidFill>
            <a:schemeClr val="tx1"/>
          </a:solidFill>
        </a:ln>
        <a:effectLst/>
      </c:spPr>
      <c:txPr>
        <a:bodyPr rot="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12700"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mn-lt"/>
                <a:ea typeface="+mn-ea"/>
                <a:cs typeface="+mn-cs"/>
              </a:defRPr>
            </a:pPr>
            <a:r>
              <a:rPr lang="en-US" sz="1100" b="1">
                <a:solidFill>
                  <a:sysClr val="windowText" lastClr="000000"/>
                </a:solidFill>
              </a:rPr>
              <a:t>Frequency-based Damage</a:t>
            </a:r>
            <a:r>
              <a:rPr lang="en-US" sz="1100" b="1" baseline="0">
                <a:solidFill>
                  <a:sysClr val="windowText" lastClr="000000"/>
                </a:solidFill>
              </a:rPr>
              <a:t> Reduction</a:t>
            </a:r>
          </a:p>
          <a:p>
            <a:pPr>
              <a:defRPr sz="1100" b="1">
                <a:solidFill>
                  <a:sysClr val="windowText" lastClr="000000"/>
                </a:solidFill>
              </a:defRPr>
            </a:pPr>
            <a:r>
              <a:rPr lang="en-US" sz="1100" b="1" baseline="0">
                <a:solidFill>
                  <a:sysClr val="windowText" lastClr="000000"/>
                </a:solidFill>
              </a:rPr>
              <a:t>Study Area: </a:t>
            </a:r>
            <a:r>
              <a:rPr lang="en-US" sz="1100" b="0" baseline="0">
                <a:solidFill>
                  <a:sysClr val="windowText" lastClr="000000"/>
                </a:solidFill>
              </a:rPr>
              <a:t>Chesterfield Co., VA</a:t>
            </a:r>
          </a:p>
          <a:p>
            <a:pPr>
              <a:defRPr sz="1100" b="1">
                <a:solidFill>
                  <a:sysClr val="windowText" lastClr="000000"/>
                </a:solidFill>
              </a:defRPr>
            </a:pPr>
            <a:r>
              <a:rPr lang="en-US" sz="1100" b="1" baseline="0">
                <a:solidFill>
                  <a:sysClr val="windowText" lastClr="000000"/>
                </a:solidFill>
              </a:rPr>
              <a:t>Scenario: </a:t>
            </a:r>
            <a:r>
              <a:rPr lang="en-US" sz="1100" b="0" baseline="0">
                <a:solidFill>
                  <a:sysClr val="windowText" lastClr="000000"/>
                </a:solidFill>
              </a:rPr>
              <a:t>Load Source BMP</a:t>
            </a:r>
            <a:endParaRPr lang="en-US" sz="1100" b="0">
              <a:solidFill>
                <a:sysClr val="windowText" lastClr="000000"/>
              </a:solidFill>
            </a:endParaRPr>
          </a:p>
        </c:rich>
      </c:tx>
      <c:layout>
        <c:manualLayout>
          <c:xMode val="edge"/>
          <c:yMode val="edge"/>
          <c:x val="0.38952447613233798"/>
          <c:y val="1.1542516637039932E-2"/>
        </c:manualLayout>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mn-lt"/>
              <a:ea typeface="+mn-ea"/>
              <a:cs typeface="+mn-cs"/>
            </a:defRPr>
          </a:pPr>
          <a:endParaRPr lang="en-US"/>
        </a:p>
      </c:txPr>
    </c:title>
    <c:autoTitleDeleted val="0"/>
    <c:plotArea>
      <c:layout>
        <c:manualLayout>
          <c:layoutTarget val="inner"/>
          <c:xMode val="edge"/>
          <c:yMode val="edge"/>
          <c:x val="0.13453897404836229"/>
          <c:y val="0.13639468900510329"/>
          <c:w val="0.7895317094271902"/>
          <c:h val="0.81178116475606177"/>
        </c:manualLayout>
      </c:layout>
      <c:scatterChart>
        <c:scatterStyle val="lineMarker"/>
        <c:varyColors val="0"/>
        <c:ser>
          <c:idx val="4"/>
          <c:order val="0"/>
          <c:tx>
            <c:strRef>
              <c:f>'Chesterfield_Load Source'!$C$16</c:f>
              <c:strCache>
                <c:ptCount val="1"/>
                <c:pt idx="0">
                  <c:v>5% Grp 2-3</c:v>
                </c:pt>
              </c:strCache>
            </c:strRef>
          </c:tx>
          <c:spPr>
            <a:ln w="19050" cap="rnd">
              <a:solidFill>
                <a:srgbClr val="92D050"/>
              </a:solidFill>
              <a:round/>
            </a:ln>
            <a:effectLst/>
          </c:spPr>
          <c:marker>
            <c:symbol val="circle"/>
            <c:size val="5"/>
            <c:spPr>
              <a:solidFill>
                <a:schemeClr val="accent5"/>
              </a:solidFill>
              <a:ln w="9525">
                <a:solidFill>
                  <a:srgbClr val="92D050"/>
                </a:solidFill>
              </a:ln>
              <a:effectLst/>
            </c:spPr>
          </c:marker>
          <c:xVal>
            <c:numRef>
              <c:f>'Chesterfield_Load Source'!$A$17:$A$20</c:f>
              <c:numCache>
                <c:formatCode>General</c:formatCode>
                <c:ptCount val="4"/>
                <c:pt idx="0">
                  <c:v>0.1</c:v>
                </c:pt>
                <c:pt idx="1">
                  <c:v>0.02</c:v>
                </c:pt>
                <c:pt idx="2">
                  <c:v>0.01</c:v>
                </c:pt>
                <c:pt idx="3">
                  <c:v>2E-3</c:v>
                </c:pt>
              </c:numCache>
            </c:numRef>
          </c:xVal>
          <c:yVal>
            <c:numRef>
              <c:f>'Chesterfield_Load Source'!$H$17:$H$20</c:f>
              <c:numCache>
                <c:formatCode>"$"#,##0</c:formatCode>
                <c:ptCount val="4"/>
                <c:pt idx="0">
                  <c:v>20066.734436273458</c:v>
                </c:pt>
                <c:pt idx="1">
                  <c:v>18495.244457244815</c:v>
                </c:pt>
                <c:pt idx="2">
                  <c:v>149929.02395820571</c:v>
                </c:pt>
                <c:pt idx="3">
                  <c:v>248164.87620544387</c:v>
                </c:pt>
              </c:numCache>
            </c:numRef>
          </c:yVal>
          <c:smooth val="0"/>
          <c:extLst>
            <c:ext xmlns:c16="http://schemas.microsoft.com/office/drawing/2014/chart" uri="{C3380CC4-5D6E-409C-BE32-E72D297353CC}">
              <c16:uniqueId val="{00000000-BA9B-4A3F-AC01-E24DBAAF84E6}"/>
            </c:ext>
          </c:extLst>
        </c:ser>
        <c:ser>
          <c:idx val="0"/>
          <c:order val="1"/>
          <c:tx>
            <c:strRef>
              <c:f>'Chesterfield_Load Source'!$C$23</c:f>
              <c:strCache>
                <c:ptCount val="1"/>
                <c:pt idx="0">
                  <c:v>25% Grp 2-3</c:v>
                </c:pt>
              </c:strCache>
            </c:strRef>
          </c:tx>
          <c:spPr>
            <a:ln w="19050" cap="rnd">
              <a:solidFill>
                <a:schemeClr val="accent1"/>
              </a:solidFill>
              <a:round/>
            </a:ln>
            <a:effectLst/>
          </c:spPr>
          <c:marker>
            <c:symbol val="circle"/>
            <c:size val="5"/>
            <c:spPr>
              <a:solidFill>
                <a:schemeClr val="accent1"/>
              </a:solidFill>
              <a:ln w="9525">
                <a:solidFill>
                  <a:schemeClr val="accent1"/>
                </a:solidFill>
              </a:ln>
              <a:effectLst/>
            </c:spPr>
          </c:marker>
          <c:xVal>
            <c:numRef>
              <c:f>'Chesterfield_Load Source'!$A$24:$A$27</c:f>
              <c:numCache>
                <c:formatCode>General</c:formatCode>
                <c:ptCount val="4"/>
                <c:pt idx="0">
                  <c:v>0.1</c:v>
                </c:pt>
                <c:pt idx="1">
                  <c:v>0.02</c:v>
                </c:pt>
                <c:pt idx="2">
                  <c:v>0.01</c:v>
                </c:pt>
                <c:pt idx="3">
                  <c:v>2E-3</c:v>
                </c:pt>
              </c:numCache>
            </c:numRef>
          </c:xVal>
          <c:yVal>
            <c:numRef>
              <c:f>'Chesterfield_Load Source'!$H$24:$H$27</c:f>
              <c:numCache>
                <c:formatCode>"$"#,##0</c:formatCode>
                <c:ptCount val="4"/>
                <c:pt idx="0">
                  <c:v>58245.791733026505</c:v>
                </c:pt>
                <c:pt idx="1">
                  <c:v>76531.306362151634</c:v>
                </c:pt>
                <c:pt idx="2">
                  <c:v>227714.90029334964</c:v>
                </c:pt>
                <c:pt idx="3">
                  <c:v>369454.74470519973</c:v>
                </c:pt>
              </c:numCache>
            </c:numRef>
          </c:yVal>
          <c:smooth val="0"/>
          <c:extLst>
            <c:ext xmlns:c16="http://schemas.microsoft.com/office/drawing/2014/chart" uri="{C3380CC4-5D6E-409C-BE32-E72D297353CC}">
              <c16:uniqueId val="{00000000-FD42-4F5F-9B00-0CB60E692472}"/>
            </c:ext>
          </c:extLst>
        </c:ser>
        <c:ser>
          <c:idx val="1"/>
          <c:order val="2"/>
          <c:tx>
            <c:strRef>
              <c:f>'Chesterfield_Load Source'!$C$30</c:f>
              <c:strCache>
                <c:ptCount val="1"/>
                <c:pt idx="0">
                  <c:v>50% Grp 2-3</c:v>
                </c:pt>
              </c:strCache>
            </c:strRef>
          </c:tx>
          <c:spPr>
            <a:ln w="19050" cap="rnd">
              <a:solidFill>
                <a:schemeClr val="accent2"/>
              </a:solidFill>
              <a:round/>
            </a:ln>
            <a:effectLst/>
          </c:spPr>
          <c:marker>
            <c:symbol val="circle"/>
            <c:size val="5"/>
            <c:spPr>
              <a:solidFill>
                <a:schemeClr val="accent2"/>
              </a:solidFill>
              <a:ln w="9525">
                <a:solidFill>
                  <a:schemeClr val="accent2"/>
                </a:solidFill>
              </a:ln>
              <a:effectLst/>
            </c:spPr>
          </c:marker>
          <c:xVal>
            <c:numRef>
              <c:f>'Chesterfield_Load Source'!$A$31:$A$34</c:f>
              <c:numCache>
                <c:formatCode>General</c:formatCode>
                <c:ptCount val="4"/>
                <c:pt idx="0">
                  <c:v>0.1</c:v>
                </c:pt>
                <c:pt idx="1">
                  <c:v>0.02</c:v>
                </c:pt>
                <c:pt idx="2">
                  <c:v>0.01</c:v>
                </c:pt>
                <c:pt idx="3">
                  <c:v>2E-3</c:v>
                </c:pt>
              </c:numCache>
            </c:numRef>
          </c:xVal>
          <c:yVal>
            <c:numRef>
              <c:f>'Chesterfield_Load Source'!$H$31:$H$34</c:f>
              <c:numCache>
                <c:formatCode>"$"#,##0</c:formatCode>
                <c:ptCount val="4"/>
                <c:pt idx="0">
                  <c:v>70760.71437859509</c:v>
                </c:pt>
                <c:pt idx="1">
                  <c:v>150528.61912155116</c:v>
                </c:pt>
                <c:pt idx="2">
                  <c:v>297602.09774207987</c:v>
                </c:pt>
                <c:pt idx="3">
                  <c:v>617805.25814819266</c:v>
                </c:pt>
              </c:numCache>
            </c:numRef>
          </c:yVal>
          <c:smooth val="0"/>
          <c:extLst>
            <c:ext xmlns:c16="http://schemas.microsoft.com/office/drawing/2014/chart" uri="{C3380CC4-5D6E-409C-BE32-E72D297353CC}">
              <c16:uniqueId val="{00000001-FD42-4F5F-9B00-0CB60E692472}"/>
            </c:ext>
          </c:extLst>
        </c:ser>
        <c:ser>
          <c:idx val="2"/>
          <c:order val="3"/>
          <c:tx>
            <c:strRef>
              <c:f>'Chesterfield_Load Source'!$C$37</c:f>
              <c:strCache>
                <c:ptCount val="1"/>
                <c:pt idx="0">
                  <c:v>75% Grp 2-3</c:v>
                </c:pt>
              </c:strCache>
            </c:strRef>
          </c:tx>
          <c:spPr>
            <a:ln w="19050" cap="rnd">
              <a:solidFill>
                <a:schemeClr val="accent3"/>
              </a:solidFill>
              <a:round/>
            </a:ln>
            <a:effectLst/>
          </c:spPr>
          <c:marker>
            <c:symbol val="circle"/>
            <c:size val="5"/>
            <c:spPr>
              <a:solidFill>
                <a:schemeClr val="accent3"/>
              </a:solidFill>
              <a:ln w="9525">
                <a:solidFill>
                  <a:schemeClr val="accent3"/>
                </a:solidFill>
              </a:ln>
              <a:effectLst/>
            </c:spPr>
          </c:marker>
          <c:xVal>
            <c:numRef>
              <c:f>'Chesterfield_Load Source'!$A$38:$A$41</c:f>
              <c:numCache>
                <c:formatCode>General</c:formatCode>
                <c:ptCount val="4"/>
                <c:pt idx="0">
                  <c:v>0.1</c:v>
                </c:pt>
                <c:pt idx="1">
                  <c:v>0.02</c:v>
                </c:pt>
                <c:pt idx="2">
                  <c:v>0.01</c:v>
                </c:pt>
                <c:pt idx="3">
                  <c:v>2E-3</c:v>
                </c:pt>
              </c:numCache>
            </c:numRef>
          </c:xVal>
          <c:yVal>
            <c:numRef>
              <c:f>'Chesterfield_Load Source'!$H$38:$H$41</c:f>
              <c:numCache>
                <c:formatCode>"$"#,##0</c:formatCode>
                <c:ptCount val="4"/>
                <c:pt idx="0">
                  <c:v>102587.07904076544</c:v>
                </c:pt>
                <c:pt idx="1">
                  <c:v>203052.66084670962</c:v>
                </c:pt>
                <c:pt idx="2">
                  <c:v>373872.23047828604</c:v>
                </c:pt>
                <c:pt idx="3">
                  <c:v>729743.36643981875</c:v>
                </c:pt>
              </c:numCache>
            </c:numRef>
          </c:yVal>
          <c:smooth val="0"/>
          <c:extLst>
            <c:ext xmlns:c16="http://schemas.microsoft.com/office/drawing/2014/chart" uri="{C3380CC4-5D6E-409C-BE32-E72D297353CC}">
              <c16:uniqueId val="{00000002-FD42-4F5F-9B00-0CB60E692472}"/>
            </c:ext>
          </c:extLst>
        </c:ser>
        <c:ser>
          <c:idx val="3"/>
          <c:order val="4"/>
          <c:tx>
            <c:strRef>
              <c:f>'Chesterfield_Load Source'!$C$44</c:f>
              <c:strCache>
                <c:ptCount val="1"/>
                <c:pt idx="0">
                  <c:v>100% Grp 2-3</c:v>
                </c:pt>
              </c:strCache>
            </c:strRef>
          </c:tx>
          <c:spPr>
            <a:ln w="19050" cap="rnd">
              <a:solidFill>
                <a:schemeClr val="accent4"/>
              </a:solidFill>
              <a:round/>
            </a:ln>
            <a:effectLst/>
          </c:spPr>
          <c:marker>
            <c:symbol val="circle"/>
            <c:size val="5"/>
            <c:spPr>
              <a:solidFill>
                <a:schemeClr val="accent4"/>
              </a:solidFill>
              <a:ln w="9525">
                <a:solidFill>
                  <a:schemeClr val="accent4"/>
                </a:solidFill>
              </a:ln>
              <a:effectLst/>
            </c:spPr>
          </c:marker>
          <c:xVal>
            <c:numRef>
              <c:f>'Chesterfield_Load Source'!$A$45:$A$48</c:f>
              <c:numCache>
                <c:formatCode>General</c:formatCode>
                <c:ptCount val="4"/>
                <c:pt idx="0">
                  <c:v>0.1</c:v>
                </c:pt>
                <c:pt idx="1">
                  <c:v>0.02</c:v>
                </c:pt>
                <c:pt idx="2">
                  <c:v>0.01</c:v>
                </c:pt>
                <c:pt idx="3">
                  <c:v>2E-3</c:v>
                </c:pt>
              </c:numCache>
            </c:numRef>
          </c:xVal>
          <c:yVal>
            <c:numRef>
              <c:f>'Chesterfield_Load Source'!$H$45:$H$48</c:f>
              <c:numCache>
                <c:formatCode>"$"#,##0</c:formatCode>
                <c:ptCount val="4"/>
                <c:pt idx="0">
                  <c:v>111425.20475792856</c:v>
                </c:pt>
                <c:pt idx="1">
                  <c:v>244275.23704910232</c:v>
                </c:pt>
                <c:pt idx="2">
                  <c:v>462560.62517738284</c:v>
                </c:pt>
                <c:pt idx="3">
                  <c:v>830444.02500152541</c:v>
                </c:pt>
              </c:numCache>
            </c:numRef>
          </c:yVal>
          <c:smooth val="0"/>
          <c:extLst>
            <c:ext xmlns:c16="http://schemas.microsoft.com/office/drawing/2014/chart" uri="{C3380CC4-5D6E-409C-BE32-E72D297353CC}">
              <c16:uniqueId val="{00000003-FD42-4F5F-9B00-0CB60E692472}"/>
            </c:ext>
          </c:extLst>
        </c:ser>
        <c:dLbls>
          <c:showLegendKey val="0"/>
          <c:showVal val="0"/>
          <c:showCatName val="0"/>
          <c:showSerName val="0"/>
          <c:showPercent val="0"/>
          <c:showBubbleSize val="0"/>
        </c:dLbls>
        <c:axId val="585063312"/>
        <c:axId val="585061672"/>
        <c:extLst/>
      </c:scatterChart>
      <c:valAx>
        <c:axId val="585063312"/>
        <c:scaling>
          <c:logBase val="10"/>
          <c:orientation val="minMax"/>
          <c:max val="1"/>
        </c:scaling>
        <c:delete val="0"/>
        <c:axPos val="b"/>
        <c:title>
          <c:tx>
            <c:rich>
              <a:bodyPr rot="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r>
                  <a:rPr lang="en-US" b="1"/>
                  <a:t>Exceedance Probability</a:t>
                </a:r>
              </a:p>
            </c:rich>
          </c:tx>
          <c:overlay val="0"/>
          <c:spPr>
            <a:noFill/>
            <a:ln>
              <a:noFill/>
            </a:ln>
            <a:effectLst/>
          </c:spPr>
          <c:txPr>
            <a:bodyPr rot="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585061672"/>
        <c:crosses val="autoZero"/>
        <c:crossBetween val="midCat"/>
      </c:valAx>
      <c:valAx>
        <c:axId val="585061672"/>
        <c:scaling>
          <c:orientation val="minMax"/>
          <c:max val="10000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1" i="0" u="none" strike="noStrike" kern="1200" baseline="0">
                    <a:solidFill>
                      <a:sysClr val="windowText" lastClr="000000"/>
                    </a:solidFill>
                    <a:latin typeface="+mn-lt"/>
                    <a:ea typeface="+mn-ea"/>
                    <a:cs typeface="+mn-cs"/>
                  </a:defRPr>
                </a:pPr>
                <a:r>
                  <a:rPr lang="en-US" b="1">
                    <a:solidFill>
                      <a:sysClr val="windowText" lastClr="000000"/>
                    </a:solidFill>
                  </a:rPr>
                  <a:t>Damage Reduction ($)</a:t>
                </a:r>
              </a:p>
            </c:rich>
          </c:tx>
          <c:layout>
            <c:manualLayout>
              <c:xMode val="edge"/>
              <c:yMode val="edge"/>
              <c:x val="2.7945448912427152E-2"/>
              <c:y val="0.35546791945124506"/>
            </c:manualLayout>
          </c:layout>
          <c:overlay val="0"/>
          <c:spPr>
            <a:noFill/>
            <a:ln>
              <a:noFill/>
            </a:ln>
            <a:effectLst/>
          </c:spPr>
          <c:txPr>
            <a:bodyPr rot="-5400000" spcFirstLastPara="1" vertOverflow="ellipsis" vert="horz" wrap="square" anchor="ctr" anchorCtr="1"/>
            <a:lstStyle/>
            <a:p>
              <a:pPr>
                <a:defRPr sz="1000" b="1" i="0" u="none" strike="noStrike" kern="1200" baseline="0">
                  <a:solidFill>
                    <a:sysClr val="windowText" lastClr="000000"/>
                  </a:solidFill>
                  <a:latin typeface="+mn-lt"/>
                  <a:ea typeface="+mn-ea"/>
                  <a:cs typeface="+mn-cs"/>
                </a:defRPr>
              </a:pPr>
              <a:endParaRPr lang="en-US"/>
            </a:p>
          </c:txPr>
        </c:title>
        <c:numFmt formatCode="&quot;$&quot;#,##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n-US"/>
          </a:p>
        </c:txPr>
        <c:crossAx val="585063312"/>
        <c:crossesAt val="1.0000000000000003E-4"/>
        <c:crossBetween val="midCat"/>
      </c:valAx>
      <c:spPr>
        <a:noFill/>
        <a:ln w="12700">
          <a:solidFill>
            <a:sysClr val="windowText" lastClr="000000"/>
          </a:solidFill>
        </a:ln>
        <a:effectLst/>
      </c:spPr>
    </c:plotArea>
    <c:legend>
      <c:legendPos val="r"/>
      <c:layout>
        <c:manualLayout>
          <c:xMode val="edge"/>
          <c:yMode val="edge"/>
          <c:x val="0.75070994269207469"/>
          <c:y val="0.2194769386969801"/>
          <c:w val="0.16410541814920818"/>
          <c:h val="0.52735494963825646"/>
        </c:manualLayout>
      </c:layout>
      <c:overlay val="0"/>
      <c:spPr>
        <a:solidFill>
          <a:schemeClr val="bg1"/>
        </a:solidFill>
        <a:ln>
          <a:solidFill>
            <a:schemeClr val="tx1"/>
          </a:solidFill>
        </a:ln>
        <a:effectLst/>
      </c:spPr>
      <c:txPr>
        <a:bodyPr rot="0" spcFirstLastPara="1" vertOverflow="ellipsis" vert="horz" wrap="square" anchor="ctr" anchorCtr="1"/>
        <a:lstStyle/>
        <a:p>
          <a:pPr>
            <a:defRPr sz="1400" b="0" i="0" u="none" strike="noStrike" kern="1200" baseline="0">
              <a:solidFill>
                <a:sysClr val="windowText" lastClr="000000"/>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12700"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mn-lt"/>
                <a:ea typeface="+mn-ea"/>
                <a:cs typeface="+mn-cs"/>
              </a:defRPr>
            </a:pPr>
            <a:r>
              <a:rPr lang="en-US" sz="1100" b="1">
                <a:solidFill>
                  <a:sysClr val="windowText" lastClr="000000"/>
                </a:solidFill>
              </a:rPr>
              <a:t>Frequency-based Damage</a:t>
            </a:r>
            <a:r>
              <a:rPr lang="en-US" sz="1100" b="1" baseline="0">
                <a:solidFill>
                  <a:sysClr val="windowText" lastClr="000000"/>
                </a:solidFill>
              </a:rPr>
              <a:t> Reduction</a:t>
            </a:r>
          </a:p>
          <a:p>
            <a:pPr>
              <a:defRPr sz="1100" b="1">
                <a:solidFill>
                  <a:sysClr val="windowText" lastClr="000000"/>
                </a:solidFill>
              </a:defRPr>
            </a:pPr>
            <a:r>
              <a:rPr lang="en-US" sz="1100" b="1" baseline="0">
                <a:solidFill>
                  <a:sysClr val="windowText" lastClr="000000"/>
                </a:solidFill>
              </a:rPr>
              <a:t>Study Area: </a:t>
            </a:r>
            <a:r>
              <a:rPr lang="en-US" sz="1100" b="0" baseline="0">
                <a:solidFill>
                  <a:sysClr val="windowText" lastClr="000000"/>
                </a:solidFill>
              </a:rPr>
              <a:t>Chesterfield Co., VA</a:t>
            </a:r>
          </a:p>
          <a:p>
            <a:pPr>
              <a:defRPr sz="1100" b="1">
                <a:solidFill>
                  <a:sysClr val="windowText" lastClr="000000"/>
                </a:solidFill>
              </a:defRPr>
            </a:pPr>
            <a:r>
              <a:rPr lang="en-US" sz="1100" b="1" baseline="0">
                <a:solidFill>
                  <a:sysClr val="windowText" lastClr="000000"/>
                </a:solidFill>
              </a:rPr>
              <a:t>Scenario: </a:t>
            </a:r>
            <a:r>
              <a:rPr lang="en-US" sz="1100" b="0" baseline="0">
                <a:solidFill>
                  <a:sysClr val="windowText" lastClr="000000"/>
                </a:solidFill>
              </a:rPr>
              <a:t>Load Source BMP</a:t>
            </a:r>
            <a:endParaRPr lang="en-US" sz="1100" b="0">
              <a:solidFill>
                <a:sysClr val="windowText" lastClr="000000"/>
              </a:solidFill>
            </a:endParaRPr>
          </a:p>
        </c:rich>
      </c:tx>
      <c:layout>
        <c:manualLayout>
          <c:xMode val="edge"/>
          <c:yMode val="edge"/>
          <c:x val="0.38952447613233798"/>
          <c:y val="1.1542516637039932E-2"/>
        </c:manualLayout>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mn-lt"/>
              <a:ea typeface="+mn-ea"/>
              <a:cs typeface="+mn-cs"/>
            </a:defRPr>
          </a:pPr>
          <a:endParaRPr lang="en-US"/>
        </a:p>
      </c:txPr>
    </c:title>
    <c:autoTitleDeleted val="0"/>
    <c:plotArea>
      <c:layout>
        <c:manualLayout>
          <c:layoutTarget val="inner"/>
          <c:xMode val="edge"/>
          <c:yMode val="edge"/>
          <c:x val="0.13453897404836229"/>
          <c:y val="0.13639468900510329"/>
          <c:w val="0.7895317094271902"/>
          <c:h val="0.81178116475606177"/>
        </c:manualLayout>
      </c:layout>
      <c:scatterChart>
        <c:scatterStyle val="lineMarker"/>
        <c:varyColors val="0"/>
        <c:ser>
          <c:idx val="0"/>
          <c:order val="0"/>
          <c:tx>
            <c:strRef>
              <c:f>'Chesterfield_Load Source'!$C$52</c:f>
              <c:strCache>
                <c:ptCount val="1"/>
                <c:pt idx="0">
                  <c:v>100% Grp 1-2</c:v>
                </c:pt>
              </c:strCache>
            </c:strRef>
          </c:tx>
          <c:spPr>
            <a:ln w="19050" cap="rnd">
              <a:solidFill>
                <a:schemeClr val="tx1"/>
              </a:solidFill>
              <a:round/>
            </a:ln>
            <a:effectLst/>
          </c:spPr>
          <c:marker>
            <c:symbol val="circle"/>
            <c:size val="5"/>
            <c:spPr>
              <a:solidFill>
                <a:schemeClr val="tx1"/>
              </a:solidFill>
              <a:ln w="9525">
                <a:solidFill>
                  <a:schemeClr val="tx1"/>
                </a:solidFill>
              </a:ln>
              <a:effectLst/>
            </c:spPr>
          </c:marker>
          <c:xVal>
            <c:numRef>
              <c:f>'Chesterfield_Load Source'!$A$53:$A$56</c:f>
              <c:numCache>
                <c:formatCode>General</c:formatCode>
                <c:ptCount val="4"/>
                <c:pt idx="0">
                  <c:v>0.1</c:v>
                </c:pt>
                <c:pt idx="1">
                  <c:v>0.02</c:v>
                </c:pt>
                <c:pt idx="2">
                  <c:v>0.01</c:v>
                </c:pt>
                <c:pt idx="3">
                  <c:v>2E-3</c:v>
                </c:pt>
              </c:numCache>
            </c:numRef>
          </c:xVal>
          <c:yVal>
            <c:numRef>
              <c:f>'Chesterfield_Load Source'!$H$53:$H$56</c:f>
              <c:numCache>
                <c:formatCode>"$"#,##0</c:formatCode>
                <c:ptCount val="4"/>
                <c:pt idx="0">
                  <c:v>52155.10010552383</c:v>
                </c:pt>
                <c:pt idx="1">
                  <c:v>14767.269451141357</c:v>
                </c:pt>
                <c:pt idx="2">
                  <c:v>144907.67710304237</c:v>
                </c:pt>
                <c:pt idx="3">
                  <c:v>245632.50245666481</c:v>
                </c:pt>
              </c:numCache>
            </c:numRef>
          </c:yVal>
          <c:smooth val="0"/>
          <c:extLst>
            <c:ext xmlns:c16="http://schemas.microsoft.com/office/drawing/2014/chart" uri="{C3380CC4-5D6E-409C-BE32-E72D297353CC}">
              <c16:uniqueId val="{00000005-5610-43A7-BBF4-9249B2A0F59C}"/>
            </c:ext>
          </c:extLst>
        </c:ser>
        <c:dLbls>
          <c:showLegendKey val="0"/>
          <c:showVal val="0"/>
          <c:showCatName val="0"/>
          <c:showSerName val="0"/>
          <c:showPercent val="0"/>
          <c:showBubbleSize val="0"/>
        </c:dLbls>
        <c:axId val="585063312"/>
        <c:axId val="585061672"/>
        <c:extLst/>
      </c:scatterChart>
      <c:valAx>
        <c:axId val="585063312"/>
        <c:scaling>
          <c:logBase val="10"/>
          <c:orientation val="minMax"/>
          <c:max val="1"/>
        </c:scaling>
        <c:delete val="0"/>
        <c:axPos val="b"/>
        <c:title>
          <c:tx>
            <c:rich>
              <a:bodyPr rot="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r>
                  <a:rPr lang="en-US" b="1"/>
                  <a:t>Exceedance Probability</a:t>
                </a:r>
              </a:p>
            </c:rich>
          </c:tx>
          <c:overlay val="0"/>
          <c:spPr>
            <a:noFill/>
            <a:ln>
              <a:noFill/>
            </a:ln>
            <a:effectLst/>
          </c:spPr>
          <c:txPr>
            <a:bodyPr rot="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585061672"/>
        <c:crosses val="autoZero"/>
        <c:crossBetween val="midCat"/>
      </c:valAx>
      <c:valAx>
        <c:axId val="585061672"/>
        <c:scaling>
          <c:orientation val="minMax"/>
          <c:max val="10000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1" i="0" u="none" strike="noStrike" kern="1200" baseline="0">
                    <a:solidFill>
                      <a:sysClr val="windowText" lastClr="000000"/>
                    </a:solidFill>
                    <a:latin typeface="+mn-lt"/>
                    <a:ea typeface="+mn-ea"/>
                    <a:cs typeface="+mn-cs"/>
                  </a:defRPr>
                </a:pPr>
                <a:r>
                  <a:rPr lang="en-US" b="1">
                    <a:solidFill>
                      <a:sysClr val="windowText" lastClr="000000"/>
                    </a:solidFill>
                  </a:rPr>
                  <a:t>Damage Reduction ($)</a:t>
                </a:r>
              </a:p>
            </c:rich>
          </c:tx>
          <c:layout>
            <c:manualLayout>
              <c:xMode val="edge"/>
              <c:yMode val="edge"/>
              <c:x val="2.7945448912427152E-2"/>
              <c:y val="0.35546791945124506"/>
            </c:manualLayout>
          </c:layout>
          <c:overlay val="0"/>
          <c:spPr>
            <a:noFill/>
            <a:ln>
              <a:noFill/>
            </a:ln>
            <a:effectLst/>
          </c:spPr>
          <c:txPr>
            <a:bodyPr rot="-5400000" spcFirstLastPara="1" vertOverflow="ellipsis" vert="horz" wrap="square" anchor="ctr" anchorCtr="1"/>
            <a:lstStyle/>
            <a:p>
              <a:pPr>
                <a:defRPr sz="1000" b="1" i="0" u="none" strike="noStrike" kern="1200" baseline="0">
                  <a:solidFill>
                    <a:sysClr val="windowText" lastClr="000000"/>
                  </a:solidFill>
                  <a:latin typeface="+mn-lt"/>
                  <a:ea typeface="+mn-ea"/>
                  <a:cs typeface="+mn-cs"/>
                </a:defRPr>
              </a:pPr>
              <a:endParaRPr lang="en-US"/>
            </a:p>
          </c:txPr>
        </c:title>
        <c:numFmt formatCode="&quot;$&quot;#,##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n-US"/>
          </a:p>
        </c:txPr>
        <c:crossAx val="585063312"/>
        <c:crossesAt val="1.0000000000000003E-4"/>
        <c:crossBetween val="midCat"/>
      </c:valAx>
      <c:spPr>
        <a:noFill/>
        <a:ln w="12700">
          <a:solidFill>
            <a:sysClr val="windowText" lastClr="000000"/>
          </a:solidFill>
        </a:ln>
        <a:effectLst/>
      </c:spPr>
    </c:plotArea>
    <c:legend>
      <c:legendPos val="r"/>
      <c:layout>
        <c:manualLayout>
          <c:xMode val="edge"/>
          <c:yMode val="edge"/>
          <c:x val="0.65706617578469861"/>
          <c:y val="0.2194769386969801"/>
          <c:w val="0.21671250350009291"/>
          <c:h val="6.2763052662606678E-2"/>
        </c:manualLayout>
      </c:layout>
      <c:overlay val="0"/>
      <c:spPr>
        <a:solidFill>
          <a:schemeClr val="bg1"/>
        </a:solidFill>
        <a:ln>
          <a:solidFill>
            <a:schemeClr val="tx1"/>
          </a:solidFill>
        </a:ln>
        <a:effectLst/>
      </c:spPr>
      <c:txPr>
        <a:bodyPr rot="0" spcFirstLastPara="1" vertOverflow="ellipsis" vert="horz" wrap="square" anchor="ctr" anchorCtr="1"/>
        <a:lstStyle/>
        <a:p>
          <a:pPr>
            <a:defRPr sz="1400" b="0" i="0" u="none" strike="noStrike" kern="1200" baseline="0">
              <a:solidFill>
                <a:sysClr val="windowText" lastClr="000000"/>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12700"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chemeClr val="tx1">
                    <a:lumMod val="65000"/>
                    <a:lumOff val="35000"/>
                  </a:schemeClr>
                </a:solidFill>
                <a:latin typeface="+mn-lt"/>
                <a:ea typeface="+mn-ea"/>
                <a:cs typeface="+mn-cs"/>
              </a:defRPr>
            </a:pPr>
            <a:r>
              <a:rPr lang="en-US" sz="1100" b="1"/>
              <a:t>Frequency-based Damage</a:t>
            </a:r>
            <a:r>
              <a:rPr lang="en-US" sz="1100" b="1" baseline="0"/>
              <a:t> Reduction</a:t>
            </a:r>
          </a:p>
          <a:p>
            <a:pPr>
              <a:defRPr sz="1100" b="1"/>
            </a:pPr>
            <a:r>
              <a:rPr lang="en-US" sz="1100" b="1" baseline="0"/>
              <a:t>Study Area: </a:t>
            </a:r>
            <a:r>
              <a:rPr lang="en-US" sz="1100" b="0" baseline="0"/>
              <a:t>Chesterfield Co., VA</a:t>
            </a:r>
          </a:p>
          <a:p>
            <a:pPr>
              <a:defRPr sz="1100" b="1"/>
            </a:pPr>
            <a:r>
              <a:rPr lang="en-US" sz="1100" b="1" baseline="0"/>
              <a:t>Scenario: </a:t>
            </a:r>
            <a:r>
              <a:rPr lang="en-US" sz="1100" b="0" baseline="0"/>
              <a:t>Retention BMP</a:t>
            </a:r>
            <a:endParaRPr lang="en-US" sz="1100" b="0"/>
          </a:p>
        </c:rich>
      </c:tx>
      <c:layout>
        <c:manualLayout>
          <c:xMode val="edge"/>
          <c:yMode val="edge"/>
          <c:x val="0.38952447613233798"/>
          <c:y val="1.1542516637039932E-2"/>
        </c:manualLayout>
      </c:layout>
      <c:overlay val="0"/>
      <c:spPr>
        <a:noFill/>
        <a:ln>
          <a:noFill/>
        </a:ln>
        <a:effectLst/>
      </c:spPr>
      <c:txPr>
        <a:bodyPr rot="0" spcFirstLastPara="1" vertOverflow="ellipsis" vert="horz" wrap="square" anchor="ctr" anchorCtr="1"/>
        <a:lstStyle/>
        <a:p>
          <a:pPr>
            <a:defRPr sz="11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3453897404836229"/>
          <c:y val="0.13639468900510329"/>
          <c:w val="0.7895317094271902"/>
          <c:h val="0.81178116475606177"/>
        </c:manualLayout>
      </c:layout>
      <c:scatterChart>
        <c:scatterStyle val="lineMarker"/>
        <c:varyColors val="0"/>
        <c:ser>
          <c:idx val="0"/>
          <c:order val="0"/>
          <c:tx>
            <c:v>25% Grp2</c:v>
          </c:tx>
          <c:spPr>
            <a:ln w="19050" cap="rnd">
              <a:solidFill>
                <a:schemeClr val="accent1"/>
              </a:solidFill>
              <a:round/>
            </a:ln>
            <a:effectLst/>
          </c:spPr>
          <c:marker>
            <c:symbol val="circle"/>
            <c:size val="5"/>
            <c:spPr>
              <a:solidFill>
                <a:schemeClr val="accent1"/>
              </a:solidFill>
              <a:ln w="9525">
                <a:solidFill>
                  <a:schemeClr val="accent1"/>
                </a:solidFill>
              </a:ln>
              <a:effectLst/>
            </c:spPr>
          </c:marker>
          <c:xVal>
            <c:numRef>
              <c:f>Chesterfield_Retention!$A$10:$A$13</c:f>
              <c:numCache>
                <c:formatCode>General</c:formatCode>
                <c:ptCount val="4"/>
                <c:pt idx="0">
                  <c:v>0.1</c:v>
                </c:pt>
                <c:pt idx="1">
                  <c:v>0.02</c:v>
                </c:pt>
                <c:pt idx="2">
                  <c:v>0.01</c:v>
                </c:pt>
                <c:pt idx="3">
                  <c:v>2E-3</c:v>
                </c:pt>
              </c:numCache>
            </c:numRef>
          </c:xVal>
          <c:yVal>
            <c:numRef>
              <c:f>Chesterfield_Retention!$H$17:$H$20</c:f>
              <c:numCache>
                <c:formatCode>"$"#,##0</c:formatCode>
                <c:ptCount val="4"/>
                <c:pt idx="0">
                  <c:v>0</c:v>
                </c:pt>
                <c:pt idx="1">
                  <c:v>0</c:v>
                </c:pt>
                <c:pt idx="2">
                  <c:v>0</c:v>
                </c:pt>
                <c:pt idx="3">
                  <c:v>0</c:v>
                </c:pt>
              </c:numCache>
            </c:numRef>
          </c:yVal>
          <c:smooth val="0"/>
          <c:extLst>
            <c:ext xmlns:c16="http://schemas.microsoft.com/office/drawing/2014/chart" uri="{C3380CC4-5D6E-409C-BE32-E72D297353CC}">
              <c16:uniqueId val="{00000000-C56A-44F8-971B-55939424A898}"/>
            </c:ext>
          </c:extLst>
        </c:ser>
        <c:ser>
          <c:idx val="1"/>
          <c:order val="1"/>
          <c:tx>
            <c:v>50% Grp 2</c:v>
          </c:tx>
          <c:spPr>
            <a:ln w="19050" cap="rnd">
              <a:solidFill>
                <a:schemeClr val="accent2"/>
              </a:solidFill>
              <a:round/>
            </a:ln>
            <a:effectLst/>
          </c:spPr>
          <c:marker>
            <c:symbol val="circle"/>
            <c:size val="5"/>
            <c:spPr>
              <a:solidFill>
                <a:schemeClr val="accent2"/>
              </a:solidFill>
              <a:ln w="9525">
                <a:solidFill>
                  <a:schemeClr val="accent2"/>
                </a:solidFill>
              </a:ln>
              <a:effectLst/>
            </c:spPr>
          </c:marker>
          <c:xVal>
            <c:numRef>
              <c:f>Chesterfield_Retention!$A$10:$A$13</c:f>
              <c:numCache>
                <c:formatCode>General</c:formatCode>
                <c:ptCount val="4"/>
                <c:pt idx="0">
                  <c:v>0.1</c:v>
                </c:pt>
                <c:pt idx="1">
                  <c:v>0.02</c:v>
                </c:pt>
                <c:pt idx="2">
                  <c:v>0.01</c:v>
                </c:pt>
                <c:pt idx="3">
                  <c:v>2E-3</c:v>
                </c:pt>
              </c:numCache>
            </c:numRef>
          </c:xVal>
          <c:yVal>
            <c:numRef>
              <c:f>Chesterfield_Retention!$H$24:$H$27</c:f>
              <c:numCache>
                <c:formatCode>"$"#,##0</c:formatCode>
                <c:ptCount val="4"/>
                <c:pt idx="0">
                  <c:v>61018.73046112046</c:v>
                </c:pt>
                <c:pt idx="1">
                  <c:v>12020.640472412109</c:v>
                </c:pt>
                <c:pt idx="2">
                  <c:v>5726.4842071527382</c:v>
                </c:pt>
                <c:pt idx="3">
                  <c:v>0</c:v>
                </c:pt>
              </c:numCache>
            </c:numRef>
          </c:yVal>
          <c:smooth val="0"/>
          <c:extLst>
            <c:ext xmlns:c16="http://schemas.microsoft.com/office/drawing/2014/chart" uri="{C3380CC4-5D6E-409C-BE32-E72D297353CC}">
              <c16:uniqueId val="{00000001-C56A-44F8-971B-55939424A898}"/>
            </c:ext>
          </c:extLst>
        </c:ser>
        <c:ser>
          <c:idx val="2"/>
          <c:order val="2"/>
          <c:tx>
            <c:v>75% Grp 2</c:v>
          </c:tx>
          <c:spPr>
            <a:ln w="19050" cap="rnd">
              <a:solidFill>
                <a:schemeClr val="accent3"/>
              </a:solidFill>
              <a:round/>
            </a:ln>
            <a:effectLst/>
          </c:spPr>
          <c:marker>
            <c:symbol val="circle"/>
            <c:size val="5"/>
            <c:spPr>
              <a:solidFill>
                <a:schemeClr val="accent3"/>
              </a:solidFill>
              <a:ln w="9525">
                <a:solidFill>
                  <a:schemeClr val="accent3"/>
                </a:solidFill>
              </a:ln>
              <a:effectLst/>
            </c:spPr>
          </c:marker>
          <c:xVal>
            <c:numRef>
              <c:f>Chesterfield_Retention!$A$10:$A$13</c:f>
              <c:numCache>
                <c:formatCode>General</c:formatCode>
                <c:ptCount val="4"/>
                <c:pt idx="0">
                  <c:v>0.1</c:v>
                </c:pt>
                <c:pt idx="1">
                  <c:v>0.02</c:v>
                </c:pt>
                <c:pt idx="2">
                  <c:v>0.01</c:v>
                </c:pt>
                <c:pt idx="3">
                  <c:v>2E-3</c:v>
                </c:pt>
              </c:numCache>
            </c:numRef>
          </c:xVal>
          <c:yVal>
            <c:numRef>
              <c:f>Chesterfield_Retention!$H$31:$H$34</c:f>
              <c:numCache>
                <c:formatCode>"$"#,##0</c:formatCode>
                <c:ptCount val="4"/>
                <c:pt idx="0">
                  <c:v>120731.01430511446</c:v>
                </c:pt>
                <c:pt idx="1">
                  <c:v>314630.24603271409</c:v>
                </c:pt>
                <c:pt idx="2">
                  <c:v>175783.26481628383</c:v>
                </c:pt>
                <c:pt idx="3">
                  <c:v>205964.85321807838</c:v>
                </c:pt>
              </c:numCache>
            </c:numRef>
          </c:yVal>
          <c:smooth val="0"/>
          <c:extLst>
            <c:ext xmlns:c16="http://schemas.microsoft.com/office/drawing/2014/chart" uri="{C3380CC4-5D6E-409C-BE32-E72D297353CC}">
              <c16:uniqueId val="{00000002-C56A-44F8-971B-55939424A898}"/>
            </c:ext>
          </c:extLst>
        </c:ser>
        <c:ser>
          <c:idx val="3"/>
          <c:order val="3"/>
          <c:tx>
            <c:v>100% Grp2</c:v>
          </c:tx>
          <c:spPr>
            <a:ln w="19050" cap="rnd">
              <a:solidFill>
                <a:schemeClr val="accent4"/>
              </a:solidFill>
              <a:round/>
            </a:ln>
            <a:effectLst/>
          </c:spPr>
          <c:marker>
            <c:symbol val="circle"/>
            <c:size val="5"/>
            <c:spPr>
              <a:solidFill>
                <a:schemeClr val="accent4"/>
              </a:solidFill>
              <a:ln w="9525">
                <a:solidFill>
                  <a:schemeClr val="accent4"/>
                </a:solidFill>
              </a:ln>
              <a:effectLst/>
            </c:spPr>
          </c:marker>
          <c:xVal>
            <c:numRef>
              <c:f>Chesterfield_Retention!$A$10:$A$13</c:f>
              <c:numCache>
                <c:formatCode>General</c:formatCode>
                <c:ptCount val="4"/>
                <c:pt idx="0">
                  <c:v>0.1</c:v>
                </c:pt>
                <c:pt idx="1">
                  <c:v>0.02</c:v>
                </c:pt>
                <c:pt idx="2">
                  <c:v>0.01</c:v>
                </c:pt>
                <c:pt idx="3">
                  <c:v>2E-3</c:v>
                </c:pt>
              </c:numCache>
            </c:numRef>
          </c:xVal>
          <c:yVal>
            <c:numRef>
              <c:f>Chesterfield_Retention!$H$38:$H$41</c:f>
              <c:numCache>
                <c:formatCode>"$"#,##0</c:formatCode>
                <c:ptCount val="4"/>
                <c:pt idx="0">
                  <c:v>167878.19048309291</c:v>
                </c:pt>
                <c:pt idx="1">
                  <c:v>429108.59681701579</c:v>
                </c:pt>
                <c:pt idx="2">
                  <c:v>381115.31973266532</c:v>
                </c:pt>
                <c:pt idx="3">
                  <c:v>475960.95912170247</c:v>
                </c:pt>
              </c:numCache>
            </c:numRef>
          </c:yVal>
          <c:smooth val="0"/>
          <c:extLst>
            <c:ext xmlns:c16="http://schemas.microsoft.com/office/drawing/2014/chart" uri="{C3380CC4-5D6E-409C-BE32-E72D297353CC}">
              <c16:uniqueId val="{00000003-C56A-44F8-971B-55939424A898}"/>
            </c:ext>
          </c:extLst>
        </c:ser>
        <c:dLbls>
          <c:showLegendKey val="0"/>
          <c:showVal val="0"/>
          <c:showCatName val="0"/>
          <c:showSerName val="0"/>
          <c:showPercent val="0"/>
          <c:showBubbleSize val="0"/>
        </c:dLbls>
        <c:axId val="585063312"/>
        <c:axId val="585061672"/>
        <c:extLst/>
      </c:scatterChart>
      <c:valAx>
        <c:axId val="585063312"/>
        <c:scaling>
          <c:logBase val="10"/>
          <c:orientation val="minMax"/>
          <c:max val="1"/>
        </c:scaling>
        <c:delete val="0"/>
        <c:axPos val="b"/>
        <c:title>
          <c:tx>
            <c:rich>
              <a:bodyPr rot="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r>
                  <a:rPr lang="en-US" b="1"/>
                  <a:t>Exceedance Probability</a:t>
                </a:r>
              </a:p>
            </c:rich>
          </c:tx>
          <c:overlay val="0"/>
          <c:spPr>
            <a:noFill/>
            <a:ln>
              <a:noFill/>
            </a:ln>
            <a:effectLst/>
          </c:spPr>
          <c:txPr>
            <a:bodyPr rot="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85061672"/>
        <c:crosses val="autoZero"/>
        <c:crossBetween val="midCat"/>
      </c:valAx>
      <c:valAx>
        <c:axId val="585061672"/>
        <c:scaling>
          <c:orientation val="minMax"/>
          <c:max val="5000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r>
                  <a:rPr lang="en-US" b="1"/>
                  <a:t>Damage Reduction ($)</a:t>
                </a:r>
              </a:p>
            </c:rich>
          </c:tx>
          <c:layout>
            <c:manualLayout>
              <c:xMode val="edge"/>
              <c:yMode val="edge"/>
              <c:x val="2.7945448912427152E-2"/>
              <c:y val="0.35546791945124506"/>
            </c:manualLayout>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n-US"/>
            </a:p>
          </c:txPr>
        </c:title>
        <c:numFmt formatCode="&quot;$&quot;#,##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n-US"/>
          </a:p>
        </c:txPr>
        <c:crossAx val="585063312"/>
        <c:crossesAt val="1.0000000000000003E-4"/>
        <c:crossBetween val="midCat"/>
      </c:valAx>
      <c:spPr>
        <a:noFill/>
        <a:ln w="12700">
          <a:solidFill>
            <a:sysClr val="windowText" lastClr="000000"/>
          </a:solidFill>
        </a:ln>
        <a:effectLst/>
      </c:spPr>
    </c:plotArea>
    <c:legend>
      <c:legendPos val="r"/>
      <c:layout>
        <c:manualLayout>
          <c:xMode val="edge"/>
          <c:yMode val="edge"/>
          <c:x val="0.69595698154442631"/>
          <c:y val="0.2194769386969801"/>
          <c:w val="0.20167563544774245"/>
          <c:h val="0.7067299191223283"/>
        </c:manualLayout>
      </c:layout>
      <c:overlay val="0"/>
      <c:spPr>
        <a:solidFill>
          <a:schemeClr val="bg1"/>
        </a:solidFill>
        <a:ln>
          <a:solidFill>
            <a:schemeClr val="tx1"/>
          </a:solidFill>
        </a:ln>
        <a:effectLst/>
      </c:spPr>
      <c:txPr>
        <a:bodyPr rot="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12700"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emf"/><Relationship Id="rId5" Type="http://schemas.openxmlformats.org/officeDocument/2006/relationships/chart" Target="../charts/chart1.xml"/><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2" Type="http://schemas.openxmlformats.org/officeDocument/2006/relationships/chart" Target="../charts/chart5.xml"/><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6.xml"/></Relationships>
</file>

<file path=xl/drawings/_rels/drawing6.xml.rels><?xml version="1.0" encoding="UTF-8" standalone="yes"?>
<Relationships xmlns="http://schemas.openxmlformats.org/package/2006/relationships"><Relationship Id="rId2" Type="http://schemas.openxmlformats.org/officeDocument/2006/relationships/chart" Target="../charts/chart8.xml"/><Relationship Id="rId1" Type="http://schemas.openxmlformats.org/officeDocument/2006/relationships/chart" Target="../charts/chart7.xml"/></Relationships>
</file>

<file path=xl/drawings/_rels/drawing7.xml.rels><?xml version="1.0" encoding="UTF-8" standalone="yes"?>
<Relationships xmlns="http://schemas.openxmlformats.org/package/2006/relationships"><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editAs="oneCell">
    <xdr:from>
      <xdr:col>4</xdr:col>
      <xdr:colOff>1</xdr:colOff>
      <xdr:row>5</xdr:row>
      <xdr:rowOff>0</xdr:rowOff>
    </xdr:from>
    <xdr:to>
      <xdr:col>8</xdr:col>
      <xdr:colOff>641105</xdr:colOff>
      <xdr:row>6</xdr:row>
      <xdr:rowOff>13260</xdr:rowOff>
    </xdr:to>
    <xdr:pic>
      <xdr:nvPicPr>
        <xdr:cNvPr id="2" name="Picture 1">
          <a:extLst>
            <a:ext uri="{FF2B5EF4-FFF2-40B4-BE49-F238E27FC236}">
              <a16:creationId xmlns:a16="http://schemas.microsoft.com/office/drawing/2014/main" id="{29845089-8C97-487B-A55B-6E5EC9E0EDF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6751" y="1589942"/>
          <a:ext cx="4271595" cy="46753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2102827</xdr:colOff>
      <xdr:row>3</xdr:row>
      <xdr:rowOff>7327</xdr:rowOff>
    </xdr:from>
    <xdr:to>
      <xdr:col>8</xdr:col>
      <xdr:colOff>169358</xdr:colOff>
      <xdr:row>4</xdr:row>
      <xdr:rowOff>140023</xdr:rowOff>
    </xdr:to>
    <xdr:pic>
      <xdr:nvPicPr>
        <xdr:cNvPr id="3" name="Picture 2">
          <a:extLst>
            <a:ext uri="{FF2B5EF4-FFF2-40B4-BE49-F238E27FC236}">
              <a16:creationId xmlns:a16="http://schemas.microsoft.com/office/drawing/2014/main" id="{E7A39294-14A6-4062-9163-1A6C1470E0C1}"/>
            </a:ext>
          </a:extLst>
        </xdr:cNvPr>
        <xdr:cNvPicPr>
          <a:picLocks noChangeAspect="1"/>
        </xdr:cNvPicPr>
      </xdr:nvPicPr>
      <xdr:blipFill>
        <a:blip xmlns:r="http://schemas.openxmlformats.org/officeDocument/2006/relationships" r:embed="rId2"/>
        <a:stretch>
          <a:fillRect/>
        </a:stretch>
      </xdr:blipFill>
      <xdr:spPr>
        <a:xfrm>
          <a:off x="4454769" y="578827"/>
          <a:ext cx="3824760" cy="682215"/>
        </a:xfrm>
        <a:prstGeom prst="rect">
          <a:avLst/>
        </a:prstGeom>
      </xdr:spPr>
    </xdr:pic>
    <xdr:clientData/>
  </xdr:twoCellAnchor>
  <xdr:twoCellAnchor editAs="oneCell">
    <xdr:from>
      <xdr:col>4</xdr:col>
      <xdr:colOff>1</xdr:colOff>
      <xdr:row>6</xdr:row>
      <xdr:rowOff>0</xdr:rowOff>
    </xdr:from>
    <xdr:to>
      <xdr:col>8</xdr:col>
      <xdr:colOff>604472</xdr:colOff>
      <xdr:row>7</xdr:row>
      <xdr:rowOff>373064</xdr:rowOff>
    </xdr:to>
    <xdr:pic>
      <xdr:nvPicPr>
        <xdr:cNvPr id="4" name="Picture 3">
          <a:extLst>
            <a:ext uri="{FF2B5EF4-FFF2-40B4-BE49-F238E27FC236}">
              <a16:creationId xmlns:a16="http://schemas.microsoft.com/office/drawing/2014/main" id="{C5DF3B62-6BFC-43E9-97DA-9AC0112204DA}"/>
            </a:ext>
          </a:extLst>
        </xdr:cNvPr>
        <xdr:cNvPicPr>
          <a:picLocks noChangeAspect="1"/>
        </xdr:cNvPicPr>
      </xdr:nvPicPr>
      <xdr:blipFill>
        <a:blip xmlns:r="http://schemas.openxmlformats.org/officeDocument/2006/relationships" r:embed="rId3"/>
        <a:stretch>
          <a:fillRect/>
        </a:stretch>
      </xdr:blipFill>
      <xdr:spPr>
        <a:xfrm>
          <a:off x="4476751" y="2044212"/>
          <a:ext cx="4234962" cy="827333"/>
        </a:xfrm>
        <a:prstGeom prst="rect">
          <a:avLst/>
        </a:prstGeom>
      </xdr:spPr>
    </xdr:pic>
    <xdr:clientData/>
  </xdr:twoCellAnchor>
  <xdr:twoCellAnchor editAs="oneCell">
    <xdr:from>
      <xdr:col>13</xdr:col>
      <xdr:colOff>0</xdr:colOff>
      <xdr:row>3</xdr:row>
      <xdr:rowOff>0</xdr:rowOff>
    </xdr:from>
    <xdr:to>
      <xdr:col>19</xdr:col>
      <xdr:colOff>810047</xdr:colOff>
      <xdr:row>8</xdr:row>
      <xdr:rowOff>129379</xdr:rowOff>
    </xdr:to>
    <xdr:pic>
      <xdr:nvPicPr>
        <xdr:cNvPr id="6" name="Picture 5">
          <a:extLst>
            <a:ext uri="{FF2B5EF4-FFF2-40B4-BE49-F238E27FC236}">
              <a16:creationId xmlns:a16="http://schemas.microsoft.com/office/drawing/2014/main" id="{2575577C-3277-4B0A-B839-F2C6541ED748}"/>
            </a:ext>
          </a:extLst>
        </xdr:cNvPr>
        <xdr:cNvPicPr>
          <a:picLocks noChangeAspect="1"/>
        </xdr:cNvPicPr>
      </xdr:nvPicPr>
      <xdr:blipFill>
        <a:blip xmlns:r="http://schemas.openxmlformats.org/officeDocument/2006/relationships" r:embed="rId4"/>
        <a:stretch>
          <a:fillRect/>
        </a:stretch>
      </xdr:blipFill>
      <xdr:spPr>
        <a:xfrm>
          <a:off x="10345615" y="571500"/>
          <a:ext cx="5238095" cy="2466667"/>
        </a:xfrm>
        <a:prstGeom prst="rect">
          <a:avLst/>
        </a:prstGeom>
      </xdr:spPr>
    </xdr:pic>
    <xdr:clientData/>
  </xdr:twoCellAnchor>
  <xdr:twoCellAnchor>
    <xdr:from>
      <xdr:col>14</xdr:col>
      <xdr:colOff>534479</xdr:colOff>
      <xdr:row>10</xdr:row>
      <xdr:rowOff>50127</xdr:rowOff>
    </xdr:from>
    <xdr:to>
      <xdr:col>25</xdr:col>
      <xdr:colOff>231231</xdr:colOff>
      <xdr:row>29</xdr:row>
      <xdr:rowOff>167356</xdr:rowOff>
    </xdr:to>
    <xdr:graphicFrame macro="">
      <xdr:nvGraphicFramePr>
        <xdr:cNvPr id="7" name="Chart 6">
          <a:extLst>
            <a:ext uri="{FF2B5EF4-FFF2-40B4-BE49-F238E27FC236}">
              <a16:creationId xmlns:a16="http://schemas.microsoft.com/office/drawing/2014/main" id="{B195F22F-BCD9-44AF-81AF-478826093FB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10</xdr:col>
      <xdr:colOff>23811</xdr:colOff>
      <xdr:row>1</xdr:row>
      <xdr:rowOff>42861</xdr:rowOff>
    </xdr:from>
    <xdr:to>
      <xdr:col>26</xdr:col>
      <xdr:colOff>95250</xdr:colOff>
      <xdr:row>32</xdr:row>
      <xdr:rowOff>85725</xdr:rowOff>
    </xdr:to>
    <xdr:graphicFrame macro="">
      <xdr:nvGraphicFramePr>
        <xdr:cNvPr id="2" name="Chart 1">
          <a:extLst>
            <a:ext uri="{FF2B5EF4-FFF2-40B4-BE49-F238E27FC236}">
              <a16:creationId xmlns:a16="http://schemas.microsoft.com/office/drawing/2014/main" id="{65CC2AA8-7376-4524-96E4-3AA6083BBC3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600076</xdr:colOff>
      <xdr:row>8</xdr:row>
      <xdr:rowOff>47625</xdr:rowOff>
    </xdr:from>
    <xdr:to>
      <xdr:col>7</xdr:col>
      <xdr:colOff>581025</xdr:colOff>
      <xdr:row>27</xdr:row>
      <xdr:rowOff>47625</xdr:rowOff>
    </xdr:to>
    <xdr:graphicFrame macro="">
      <xdr:nvGraphicFramePr>
        <xdr:cNvPr id="2" name="Chart 1">
          <a:extLst>
            <a:ext uri="{FF2B5EF4-FFF2-40B4-BE49-F238E27FC236}">
              <a16:creationId xmlns:a16="http://schemas.microsoft.com/office/drawing/2014/main" id="{967EE085-9FE1-4DA4-893E-F9EDBBCEF8C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8</xdr:col>
      <xdr:colOff>333375</xdr:colOff>
      <xdr:row>7</xdr:row>
      <xdr:rowOff>171450</xdr:rowOff>
    </xdr:from>
    <xdr:to>
      <xdr:col>17</xdr:col>
      <xdr:colOff>37339</xdr:colOff>
      <xdr:row>30</xdr:row>
      <xdr:rowOff>132807</xdr:rowOff>
    </xdr:to>
    <xdr:pic>
      <xdr:nvPicPr>
        <xdr:cNvPr id="4" name="Picture 3">
          <a:extLst>
            <a:ext uri="{FF2B5EF4-FFF2-40B4-BE49-F238E27FC236}">
              <a16:creationId xmlns:a16="http://schemas.microsoft.com/office/drawing/2014/main" id="{EBFEA054-445E-4093-8365-F93B40C9DE61}"/>
            </a:ext>
          </a:extLst>
        </xdr:cNvPr>
        <xdr:cNvPicPr>
          <a:picLocks noChangeAspect="1"/>
        </xdr:cNvPicPr>
      </xdr:nvPicPr>
      <xdr:blipFill>
        <a:blip xmlns:r="http://schemas.openxmlformats.org/officeDocument/2006/relationships" r:embed="rId2"/>
        <a:stretch>
          <a:fillRect/>
        </a:stretch>
      </xdr:blipFill>
      <xdr:spPr>
        <a:xfrm>
          <a:off x="7448550" y="1514475"/>
          <a:ext cx="6085714" cy="434285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12</xdr:col>
      <xdr:colOff>713317</xdr:colOff>
      <xdr:row>24</xdr:row>
      <xdr:rowOff>19146</xdr:rowOff>
    </xdr:from>
    <xdr:to>
      <xdr:col>22</xdr:col>
      <xdr:colOff>546101</xdr:colOff>
      <xdr:row>47</xdr:row>
      <xdr:rowOff>132388</xdr:rowOff>
    </xdr:to>
    <xdr:graphicFrame macro="">
      <xdr:nvGraphicFramePr>
        <xdr:cNvPr id="2" name="Chart 1">
          <a:extLst>
            <a:ext uri="{FF2B5EF4-FFF2-40B4-BE49-F238E27FC236}">
              <a16:creationId xmlns:a16="http://schemas.microsoft.com/office/drawing/2014/main" id="{D640754F-F943-4AC4-B7CC-CB09C141D67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24</xdr:col>
      <xdr:colOff>0</xdr:colOff>
      <xdr:row>24</xdr:row>
      <xdr:rowOff>0</xdr:rowOff>
    </xdr:from>
    <xdr:to>
      <xdr:col>37</xdr:col>
      <xdr:colOff>547159</xdr:colOff>
      <xdr:row>47</xdr:row>
      <xdr:rowOff>113242</xdr:rowOff>
    </xdr:to>
    <xdr:graphicFrame macro="">
      <xdr:nvGraphicFramePr>
        <xdr:cNvPr id="3" name="Chart 2">
          <a:extLst>
            <a:ext uri="{FF2B5EF4-FFF2-40B4-BE49-F238E27FC236}">
              <a16:creationId xmlns:a16="http://schemas.microsoft.com/office/drawing/2014/main" id="{E7C06BFF-7D1C-47D1-A185-0DEC6D436E6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12</xdr:col>
      <xdr:colOff>726924</xdr:colOff>
      <xdr:row>17</xdr:row>
      <xdr:rowOff>171298</xdr:rowOff>
    </xdr:from>
    <xdr:to>
      <xdr:col>22</xdr:col>
      <xdr:colOff>559708</xdr:colOff>
      <xdr:row>41</xdr:row>
      <xdr:rowOff>80433</xdr:rowOff>
    </xdr:to>
    <xdr:graphicFrame macro="">
      <xdr:nvGraphicFramePr>
        <xdr:cNvPr id="2" name="Chart 1">
          <a:extLst>
            <a:ext uri="{FF2B5EF4-FFF2-40B4-BE49-F238E27FC236}">
              <a16:creationId xmlns:a16="http://schemas.microsoft.com/office/drawing/2014/main" id="{7E12ABF7-7422-43D6-B755-EA391B418E1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12</xdr:col>
      <xdr:colOff>713317</xdr:colOff>
      <xdr:row>23</xdr:row>
      <xdr:rowOff>116870</xdr:rowOff>
    </xdr:from>
    <xdr:to>
      <xdr:col>22</xdr:col>
      <xdr:colOff>546101</xdr:colOff>
      <xdr:row>47</xdr:row>
      <xdr:rowOff>39612</xdr:rowOff>
    </xdr:to>
    <xdr:graphicFrame macro="">
      <xdr:nvGraphicFramePr>
        <xdr:cNvPr id="2" name="Chart 1">
          <a:extLst>
            <a:ext uri="{FF2B5EF4-FFF2-40B4-BE49-F238E27FC236}">
              <a16:creationId xmlns:a16="http://schemas.microsoft.com/office/drawing/2014/main" id="{8187F0A6-3E1A-4DDB-973D-06377ECAE30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24</xdr:col>
      <xdr:colOff>0</xdr:colOff>
      <xdr:row>24</xdr:row>
      <xdr:rowOff>0</xdr:rowOff>
    </xdr:from>
    <xdr:to>
      <xdr:col>38</xdr:col>
      <xdr:colOff>9677</xdr:colOff>
      <xdr:row>47</xdr:row>
      <xdr:rowOff>113242</xdr:rowOff>
    </xdr:to>
    <xdr:graphicFrame macro="">
      <xdr:nvGraphicFramePr>
        <xdr:cNvPr id="4" name="Chart 3">
          <a:extLst>
            <a:ext uri="{FF2B5EF4-FFF2-40B4-BE49-F238E27FC236}">
              <a16:creationId xmlns:a16="http://schemas.microsoft.com/office/drawing/2014/main" id="{894010C0-C0E7-4BC3-939E-4FBD1BED5B3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12</xdr:col>
      <xdr:colOff>713317</xdr:colOff>
      <xdr:row>16</xdr:row>
      <xdr:rowOff>116870</xdr:rowOff>
    </xdr:from>
    <xdr:to>
      <xdr:col>22</xdr:col>
      <xdr:colOff>546101</xdr:colOff>
      <xdr:row>40</xdr:row>
      <xdr:rowOff>39612</xdr:rowOff>
    </xdr:to>
    <xdr:graphicFrame macro="">
      <xdr:nvGraphicFramePr>
        <xdr:cNvPr id="2" name="Chart 1">
          <a:extLst>
            <a:ext uri="{FF2B5EF4-FFF2-40B4-BE49-F238E27FC236}">
              <a16:creationId xmlns:a16="http://schemas.microsoft.com/office/drawing/2014/main" id="{AF7CCC0A-0456-4282-A22A-AE3342C58B7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120687-1762-4C6F-985F-8B4327603E5D}">
  <dimension ref="A2:Z90"/>
  <sheetViews>
    <sheetView topLeftCell="A31" zoomScaleNormal="100" workbookViewId="0">
      <selection activeCell="Q40" sqref="Q40:V44"/>
    </sheetView>
  </sheetViews>
  <sheetFormatPr defaultRowHeight="15" x14ac:dyDescent="0.25"/>
  <cols>
    <col min="1" max="1" width="12.28515625" customWidth="1"/>
    <col min="2" max="2" width="11.7109375" customWidth="1"/>
    <col min="3" max="3" width="17" customWidth="1"/>
    <col min="4" max="4" width="31.85546875" customWidth="1"/>
    <col min="5" max="5" width="11.5703125" bestFit="1" customWidth="1"/>
    <col min="6" max="6" width="15.7109375" customWidth="1"/>
    <col min="7" max="7" width="11.5703125" bestFit="1" customWidth="1"/>
    <col min="8" max="8" width="15.7109375" customWidth="1"/>
    <col min="9" max="9" width="12.28515625" customWidth="1"/>
    <col min="10" max="10" width="11.140625" customWidth="1"/>
    <col min="18" max="18" width="15.5703125" customWidth="1"/>
    <col min="19" max="19" width="14.140625" customWidth="1"/>
    <col min="20" max="20" width="13.28515625" customWidth="1"/>
    <col min="21" max="21" width="13.140625" customWidth="1"/>
    <col min="22" max="22" width="15.85546875" customWidth="1"/>
  </cols>
  <sheetData>
    <row r="2" spans="3:23" x14ac:dyDescent="0.25">
      <c r="F2" t="s">
        <v>7</v>
      </c>
    </row>
    <row r="3" spans="3:23" x14ac:dyDescent="0.25">
      <c r="C3" s="2" t="s">
        <v>0</v>
      </c>
      <c r="D3" s="3" t="s">
        <v>5</v>
      </c>
      <c r="G3" t="s">
        <v>6</v>
      </c>
      <c r="H3" s="4">
        <v>0.1</v>
      </c>
      <c r="I3" s="4">
        <v>0.02</v>
      </c>
      <c r="J3" s="4">
        <v>0.01</v>
      </c>
      <c r="K3" s="5">
        <v>2E-3</v>
      </c>
    </row>
    <row r="4" spans="3:23" ht="43.5" customHeight="1" x14ac:dyDescent="0.25">
      <c r="C4" s="1">
        <v>8450142</v>
      </c>
      <c r="D4" t="s">
        <v>3</v>
      </c>
    </row>
    <row r="5" spans="3:23" ht="36.75" customHeight="1" x14ac:dyDescent="0.25">
      <c r="C5" s="1">
        <v>8450180</v>
      </c>
      <c r="D5" t="s">
        <v>2</v>
      </c>
    </row>
    <row r="6" spans="3:23" ht="36" customHeight="1" x14ac:dyDescent="0.25">
      <c r="C6" s="1">
        <v>8450182</v>
      </c>
      <c r="D6" t="s">
        <v>1</v>
      </c>
    </row>
    <row r="7" spans="3:23" ht="36" customHeight="1" x14ac:dyDescent="0.25">
      <c r="C7" s="1">
        <v>8450178</v>
      </c>
      <c r="D7" t="s">
        <v>2</v>
      </c>
    </row>
    <row r="8" spans="3:23" ht="32.25" customHeight="1" x14ac:dyDescent="0.25">
      <c r="C8" s="1">
        <v>8450136</v>
      </c>
      <c r="D8" t="s">
        <v>4</v>
      </c>
    </row>
    <row r="9" spans="3:23" ht="37.5" customHeight="1" x14ac:dyDescent="0.25">
      <c r="C9" s="1">
        <v>8450148</v>
      </c>
      <c r="D9" t="s">
        <v>3</v>
      </c>
    </row>
    <row r="12" spans="3:23" x14ac:dyDescent="0.25">
      <c r="C12" t="s">
        <v>8</v>
      </c>
      <c r="D12" t="s">
        <v>11</v>
      </c>
      <c r="E12" t="s">
        <v>12</v>
      </c>
      <c r="O12" t="s">
        <v>13</v>
      </c>
      <c r="P12" t="s">
        <v>14</v>
      </c>
      <c r="Q12" t="s">
        <v>15</v>
      </c>
      <c r="R12" t="s">
        <v>16</v>
      </c>
      <c r="S12" t="s">
        <v>15</v>
      </c>
      <c r="T12" t="s">
        <v>17</v>
      </c>
      <c r="U12" t="s">
        <v>18</v>
      </c>
      <c r="V12" t="s">
        <v>15</v>
      </c>
    </row>
    <row r="13" spans="3:23" x14ac:dyDescent="0.25">
      <c r="C13" t="s">
        <v>9</v>
      </c>
      <c r="D13">
        <v>18166</v>
      </c>
      <c r="E13" s="8">
        <f>(P17-D13)/(P17-P18)*(S18-S17)+S17</f>
        <v>0.85719358045732119</v>
      </c>
      <c r="F13" s="9">
        <f>100/E13</f>
        <v>116.65976306851134</v>
      </c>
      <c r="O13" t="s">
        <v>15</v>
      </c>
      <c r="P13" t="s">
        <v>19</v>
      </c>
      <c r="Q13" t="s">
        <v>20</v>
      </c>
      <c r="R13" t="s">
        <v>15</v>
      </c>
      <c r="S13" t="s">
        <v>21</v>
      </c>
      <c r="T13" t="s">
        <v>15</v>
      </c>
      <c r="U13">
        <v>0.05</v>
      </c>
      <c r="V13">
        <v>0.95</v>
      </c>
      <c r="W13" t="s">
        <v>15</v>
      </c>
    </row>
    <row r="14" spans="3:23" x14ac:dyDescent="0.25">
      <c r="C14" t="s">
        <v>10</v>
      </c>
      <c r="D14">
        <v>13980</v>
      </c>
      <c r="E14" s="8">
        <f>(P20-D14)/(P20-P21)*(S21-S20)+S20</f>
        <v>5.3081795648581647</v>
      </c>
      <c r="F14" s="9">
        <f t="shared" ref="F14:F15" si="0">100/E14</f>
        <v>18.838850264605171</v>
      </c>
      <c r="O14" t="s">
        <v>15</v>
      </c>
      <c r="P14" t="s">
        <v>22</v>
      </c>
      <c r="Q14" t="s">
        <v>23</v>
      </c>
      <c r="R14" t="s">
        <v>15</v>
      </c>
      <c r="S14" t="s">
        <v>24</v>
      </c>
      <c r="T14" t="s">
        <v>15</v>
      </c>
      <c r="U14" t="s">
        <v>22</v>
      </c>
      <c r="V14" t="s">
        <v>23</v>
      </c>
      <c r="W14" t="s">
        <v>15</v>
      </c>
    </row>
    <row r="15" spans="3:23" x14ac:dyDescent="0.25">
      <c r="C15" s="7">
        <v>40649</v>
      </c>
      <c r="D15">
        <v>10055</v>
      </c>
      <c r="E15" s="8">
        <f>(P22-D15)/(P22-P23)*(S23-S22)+S22</f>
        <v>21.698062027185863</v>
      </c>
      <c r="F15" s="9">
        <f t="shared" si="0"/>
        <v>4.6087065229469957</v>
      </c>
      <c r="O15" t="s">
        <v>25</v>
      </c>
    </row>
    <row r="16" spans="3:23" x14ac:dyDescent="0.25">
      <c r="O16" t="s">
        <v>15</v>
      </c>
      <c r="P16" s="6">
        <v>20906.599999999999</v>
      </c>
      <c r="Q16">
        <v>1.7409999999999998E-2</v>
      </c>
      <c r="R16" t="s">
        <v>15</v>
      </c>
      <c r="S16">
        <v>0.2</v>
      </c>
      <c r="T16" t="s">
        <v>15</v>
      </c>
      <c r="U16" s="6">
        <v>42174.8</v>
      </c>
      <c r="V16" s="6">
        <v>14079.6</v>
      </c>
      <c r="W16" t="s">
        <v>15</v>
      </c>
    </row>
    <row r="17" spans="1:26" x14ac:dyDescent="0.25">
      <c r="A17" s="27" t="s">
        <v>62</v>
      </c>
      <c r="B17" s="28"/>
      <c r="C17" s="28"/>
      <c r="D17" s="28"/>
      <c r="E17" s="28"/>
      <c r="F17" s="28"/>
      <c r="G17" s="28"/>
      <c r="H17" s="28"/>
      <c r="I17" s="28"/>
      <c r="J17" s="28"/>
      <c r="K17" s="28"/>
      <c r="L17" s="28"/>
      <c r="M17" s="28"/>
      <c r="N17" s="28"/>
      <c r="O17" t="s">
        <v>15</v>
      </c>
      <c r="P17" s="6">
        <v>19172</v>
      </c>
      <c r="Q17">
        <v>1.2200000000000001E-2</v>
      </c>
      <c r="R17" t="s">
        <v>15</v>
      </c>
      <c r="S17">
        <v>0.5</v>
      </c>
      <c r="T17" t="s">
        <v>15</v>
      </c>
      <c r="U17" s="6">
        <v>33714.199999999997</v>
      </c>
      <c r="V17" s="6">
        <v>13651</v>
      </c>
      <c r="W17" t="s">
        <v>15</v>
      </c>
    </row>
    <row r="18" spans="1:26" ht="18.75" x14ac:dyDescent="0.3">
      <c r="A18" s="35"/>
      <c r="C18" s="14" t="s">
        <v>29</v>
      </c>
      <c r="G18" s="36"/>
      <c r="H18" s="36"/>
      <c r="I18" s="36"/>
      <c r="J18" s="36"/>
      <c r="K18" s="36"/>
      <c r="L18" s="36"/>
      <c r="M18" s="36"/>
      <c r="N18" s="36"/>
      <c r="O18" t="s">
        <v>15</v>
      </c>
      <c r="P18" s="6">
        <v>17763.8</v>
      </c>
      <c r="Q18">
        <v>8.8699999999999994E-3</v>
      </c>
      <c r="R18" t="s">
        <v>15</v>
      </c>
      <c r="S18">
        <v>1</v>
      </c>
      <c r="T18" t="s">
        <v>15</v>
      </c>
      <c r="U18" s="6">
        <v>28410.3</v>
      </c>
      <c r="V18" s="6">
        <v>13227.9</v>
      </c>
      <c r="W18" t="s">
        <v>15</v>
      </c>
    </row>
    <row r="19" spans="1:26" x14ac:dyDescent="0.25">
      <c r="A19" s="35"/>
      <c r="C19" s="12" t="s">
        <v>27</v>
      </c>
      <c r="D19" s="12" t="s">
        <v>28</v>
      </c>
      <c r="E19" s="13"/>
      <c r="F19" s="13" t="s">
        <v>26</v>
      </c>
      <c r="G19" s="36"/>
      <c r="H19" s="36"/>
      <c r="I19" s="36"/>
      <c r="J19" s="36"/>
      <c r="K19" s="36"/>
      <c r="L19" s="36"/>
      <c r="M19" s="36"/>
      <c r="N19" s="36"/>
      <c r="O19" t="s">
        <v>15</v>
      </c>
      <c r="P19" s="6">
        <v>16259.6</v>
      </c>
      <c r="Q19">
        <v>6.1199999999999996E-3</v>
      </c>
      <c r="R19" t="s">
        <v>15</v>
      </c>
      <c r="S19">
        <v>2</v>
      </c>
      <c r="T19" t="s">
        <v>15</v>
      </c>
      <c r="U19" s="6">
        <v>23844.2</v>
      </c>
      <c r="V19" s="6">
        <v>12684.1</v>
      </c>
      <c r="W19" t="s">
        <v>15</v>
      </c>
    </row>
    <row r="20" spans="1:26" x14ac:dyDescent="0.25">
      <c r="A20" s="35"/>
      <c r="B20" s="7">
        <v>40649</v>
      </c>
      <c r="C20" s="11">
        <v>2083.1099999999901</v>
      </c>
      <c r="D20" s="11">
        <v>1346.78999999999</v>
      </c>
      <c r="E20" s="11">
        <v>5</v>
      </c>
      <c r="F20">
        <f>(1-(D20/C20))*100</f>
        <v>35.347149214395955</v>
      </c>
      <c r="G20" s="36"/>
      <c r="H20" s="36"/>
      <c r="I20" s="36"/>
      <c r="J20" s="36"/>
      <c r="K20" s="36"/>
      <c r="L20" s="36"/>
      <c r="M20" s="36"/>
      <c r="N20" s="36"/>
      <c r="O20" t="s">
        <v>15</v>
      </c>
      <c r="P20" s="6">
        <v>14091.9</v>
      </c>
      <c r="Q20">
        <v>3.4199999999999999E-3</v>
      </c>
      <c r="R20" t="s">
        <v>15</v>
      </c>
      <c r="S20">
        <v>5</v>
      </c>
      <c r="T20" t="s">
        <v>15</v>
      </c>
      <c r="U20" s="6">
        <v>18703.900000000001</v>
      </c>
      <c r="V20" s="6">
        <v>11669.4</v>
      </c>
      <c r="W20" t="s">
        <v>15</v>
      </c>
    </row>
    <row r="21" spans="1:26" x14ac:dyDescent="0.25">
      <c r="A21" s="35"/>
      <c r="B21" t="s">
        <v>10</v>
      </c>
      <c r="C21" s="11">
        <v>2903.15</v>
      </c>
      <c r="D21" s="11">
        <v>1934.3899999999901</v>
      </c>
      <c r="E21" s="11">
        <v>19</v>
      </c>
      <c r="F21">
        <f t="shared" ref="F21:F22" si="1">(1-(D21/C21))*100</f>
        <v>33.369271308751181</v>
      </c>
      <c r="G21" s="36"/>
      <c r="H21" s="36"/>
      <c r="I21" s="36"/>
      <c r="J21" s="36"/>
      <c r="K21" s="36"/>
      <c r="L21" s="36"/>
      <c r="M21" s="36"/>
      <c r="N21" s="36"/>
      <c r="O21" t="s">
        <v>15</v>
      </c>
      <c r="P21" s="6">
        <v>12276.4</v>
      </c>
      <c r="Q21">
        <v>2.14E-3</v>
      </c>
      <c r="R21" t="s">
        <v>15</v>
      </c>
      <c r="S21">
        <v>10</v>
      </c>
      <c r="T21" t="s">
        <v>15</v>
      </c>
      <c r="U21" s="6">
        <v>15306.2</v>
      </c>
      <c r="V21" s="6">
        <v>10517.6</v>
      </c>
      <c r="W21" t="s">
        <v>15</v>
      </c>
    </row>
    <row r="22" spans="1:26" x14ac:dyDescent="0.25">
      <c r="A22" s="35"/>
      <c r="B22" t="s">
        <v>9</v>
      </c>
      <c r="C22" s="11">
        <v>3487.91</v>
      </c>
      <c r="D22" s="11">
        <v>2863.3499999999899</v>
      </c>
      <c r="E22" s="11">
        <v>117</v>
      </c>
      <c r="F22">
        <f t="shared" si="1"/>
        <v>17.906425337810038</v>
      </c>
      <c r="G22" s="36"/>
      <c r="H22" s="36"/>
      <c r="I22" s="36"/>
      <c r="J22" s="36"/>
      <c r="K22" s="36"/>
      <c r="L22" s="36"/>
      <c r="M22" s="36"/>
      <c r="N22" s="36"/>
      <c r="O22" t="s">
        <v>15</v>
      </c>
      <c r="P22" s="6">
        <v>10242.799999999999</v>
      </c>
      <c r="Q22">
        <v>1.5299999999999999E-3</v>
      </c>
      <c r="R22" t="s">
        <v>15</v>
      </c>
      <c r="S22">
        <v>20</v>
      </c>
      <c r="T22" t="s">
        <v>15</v>
      </c>
      <c r="U22" s="6">
        <v>12144.4</v>
      </c>
      <c r="V22" s="6">
        <v>8826.9</v>
      </c>
      <c r="W22" t="s">
        <v>15</v>
      </c>
    </row>
    <row r="23" spans="1:26" x14ac:dyDescent="0.25">
      <c r="A23" s="35"/>
      <c r="G23" s="36"/>
      <c r="H23" s="36"/>
      <c r="I23" s="36"/>
      <c r="J23" s="36"/>
      <c r="K23" s="36"/>
      <c r="L23" s="36"/>
      <c r="M23" s="36"/>
      <c r="N23" s="36"/>
      <c r="O23" t="s">
        <v>15</v>
      </c>
      <c r="P23" s="6">
        <v>6924.9</v>
      </c>
      <c r="Q23">
        <v>1.7799999999999999E-3</v>
      </c>
      <c r="R23" t="s">
        <v>15</v>
      </c>
      <c r="S23">
        <v>50</v>
      </c>
      <c r="T23" t="s">
        <v>15</v>
      </c>
      <c r="U23" s="6">
        <v>8068</v>
      </c>
      <c r="V23" s="6">
        <v>5791</v>
      </c>
      <c r="W23" t="s">
        <v>15</v>
      </c>
    </row>
    <row r="24" spans="1:26" x14ac:dyDescent="0.25">
      <c r="B24" s="18" t="s">
        <v>41</v>
      </c>
      <c r="R24" t="s">
        <v>15</v>
      </c>
      <c r="S24" s="6">
        <v>4399.8999999999996</v>
      </c>
      <c r="T24">
        <v>2.8300000000000001E-3</v>
      </c>
      <c r="U24" t="s">
        <v>15</v>
      </c>
      <c r="V24">
        <v>80</v>
      </c>
      <c r="W24" t="s">
        <v>15</v>
      </c>
      <c r="X24" s="6">
        <v>5306.6</v>
      </c>
      <c r="Y24" s="6">
        <v>3452.8</v>
      </c>
      <c r="Z24" t="s">
        <v>15</v>
      </c>
    </row>
    <row r="25" spans="1:26" x14ac:dyDescent="0.25">
      <c r="A25" t="s">
        <v>45</v>
      </c>
      <c r="B25" t="s">
        <v>40</v>
      </c>
      <c r="C25" s="11">
        <v>2.12</v>
      </c>
      <c r="F25" s="11">
        <v>2.62</v>
      </c>
      <c r="I25">
        <v>2.4049999999999998</v>
      </c>
      <c r="L25">
        <v>3.05</v>
      </c>
      <c r="R25" t="s">
        <v>15</v>
      </c>
      <c r="S25" s="6">
        <v>3382.7</v>
      </c>
      <c r="T25">
        <v>4.15E-3</v>
      </c>
      <c r="U25" t="s">
        <v>15</v>
      </c>
      <c r="V25">
        <v>90</v>
      </c>
      <c r="W25" t="s">
        <v>15</v>
      </c>
      <c r="X25" s="6">
        <v>4179</v>
      </c>
      <c r="Y25" s="6">
        <v>2441.8000000000002</v>
      </c>
      <c r="Z25" t="s">
        <v>15</v>
      </c>
    </row>
    <row r="26" spans="1:26" x14ac:dyDescent="0.25">
      <c r="C26" s="2" t="s">
        <v>35</v>
      </c>
      <c r="D26" s="2" t="s">
        <v>57</v>
      </c>
      <c r="E26" s="2"/>
      <c r="F26" s="3" t="s">
        <v>36</v>
      </c>
      <c r="G26" s="3" t="s">
        <v>58</v>
      </c>
      <c r="H26" s="3"/>
      <c r="I26" s="3" t="s">
        <v>38</v>
      </c>
      <c r="J26" s="3" t="s">
        <v>59</v>
      </c>
      <c r="K26" s="3"/>
      <c r="L26" s="3" t="s">
        <v>37</v>
      </c>
      <c r="M26" s="3" t="s">
        <v>60</v>
      </c>
      <c r="P26" t="s">
        <v>15</v>
      </c>
      <c r="Q26" s="6">
        <v>2685.3</v>
      </c>
      <c r="R26">
        <v>6.2300000000000003E-3</v>
      </c>
      <c r="S26" t="s">
        <v>15</v>
      </c>
      <c r="T26">
        <v>95</v>
      </c>
      <c r="U26" t="s">
        <v>15</v>
      </c>
      <c r="V26" s="6">
        <v>3424.1</v>
      </c>
      <c r="W26" s="6">
        <v>1750.3</v>
      </c>
      <c r="X26" t="s">
        <v>15</v>
      </c>
    </row>
    <row r="27" spans="1:26" x14ac:dyDescent="0.25">
      <c r="A27" t="s">
        <v>42</v>
      </c>
      <c r="C27" s="19">
        <f>C20*C25</f>
        <v>4416.1931999999797</v>
      </c>
      <c r="D27" s="19">
        <f>D20*C25</f>
        <v>2855.1947999999788</v>
      </c>
      <c r="E27" s="17"/>
      <c r="F27" s="19">
        <f>C21*$F$25</f>
        <v>7606.2530000000006</v>
      </c>
      <c r="G27" s="19">
        <f>D21*$F$25</f>
        <v>5068.101799999974</v>
      </c>
      <c r="H27" s="17"/>
      <c r="I27" s="19">
        <f>$I$25*C22</f>
        <v>8388.4235499999995</v>
      </c>
      <c r="J27" s="19">
        <f>$I$25*D22</f>
        <v>6886.3567499999754</v>
      </c>
      <c r="K27" s="17"/>
      <c r="L27" s="19">
        <f>C22*$L$25</f>
        <v>10638.125499999998</v>
      </c>
      <c r="M27" s="19">
        <f>D22*$L$25</f>
        <v>8733.2174999999679</v>
      </c>
      <c r="P27" t="s">
        <v>15</v>
      </c>
      <c r="Q27" s="6">
        <v>1682.5</v>
      </c>
      <c r="R27">
        <v>1.491E-2</v>
      </c>
      <c r="S27" t="s">
        <v>15</v>
      </c>
      <c r="T27">
        <v>99</v>
      </c>
      <c r="U27" t="s">
        <v>15</v>
      </c>
      <c r="V27" s="6">
        <v>2396.1</v>
      </c>
      <c r="W27">
        <v>845.2</v>
      </c>
      <c r="X27" t="s">
        <v>15</v>
      </c>
    </row>
    <row r="28" spans="1:26" x14ac:dyDescent="0.25">
      <c r="A28" t="s">
        <v>43</v>
      </c>
      <c r="B28">
        <v>0.64</v>
      </c>
      <c r="C28" s="19">
        <f>C27*B28</f>
        <v>2826.3636479999873</v>
      </c>
      <c r="D28" s="19">
        <f>D27*B28</f>
        <v>1827.3246719999865</v>
      </c>
      <c r="E28">
        <v>0.64</v>
      </c>
      <c r="F28" s="19">
        <f>F27*E28</f>
        <v>4868.0019200000006</v>
      </c>
      <c r="G28" s="19">
        <f>G27*E28</f>
        <v>3243.5851519999833</v>
      </c>
      <c r="H28" s="16">
        <v>0.65</v>
      </c>
      <c r="I28" s="19">
        <f>I27*H28</f>
        <v>5452.4753074999999</v>
      </c>
      <c r="J28" s="19">
        <f>J27*H28</f>
        <v>4476.1318874999843</v>
      </c>
      <c r="K28" s="16">
        <v>0.65</v>
      </c>
      <c r="L28" s="19">
        <f>L27*K28</f>
        <v>6914.7815749999991</v>
      </c>
      <c r="M28" s="19">
        <f>M27*K28</f>
        <v>5676.5913749999791</v>
      </c>
      <c r="O28" t="s">
        <v>25</v>
      </c>
    </row>
    <row r="29" spans="1:26" x14ac:dyDescent="0.25">
      <c r="A29" t="s">
        <v>44</v>
      </c>
      <c r="B29">
        <v>0.78</v>
      </c>
      <c r="C29" s="19">
        <f>C28*B29</f>
        <v>2204.5636454399901</v>
      </c>
      <c r="D29" s="19">
        <f>D28*B29</f>
        <v>1425.3132441599896</v>
      </c>
      <c r="E29">
        <v>0.78</v>
      </c>
      <c r="F29" s="19">
        <f>F28*E29</f>
        <v>3797.0414976000006</v>
      </c>
      <c r="G29" s="19">
        <f>G28*E29</f>
        <v>2529.996418559987</v>
      </c>
      <c r="H29" s="16">
        <v>0.87</v>
      </c>
      <c r="I29" s="19">
        <f>I28*H29</f>
        <v>4743.6535175250001</v>
      </c>
      <c r="J29" s="19">
        <f>J28*H29</f>
        <v>3894.2347421249865</v>
      </c>
      <c r="K29" s="16">
        <v>0.76</v>
      </c>
      <c r="L29" s="19">
        <f>L28*K29</f>
        <v>5255.2339969999994</v>
      </c>
      <c r="M29" s="19">
        <f>M28*K29</f>
        <v>4314.209444999984</v>
      </c>
    </row>
    <row r="30" spans="1:26" x14ac:dyDescent="0.25">
      <c r="A30" t="s">
        <v>46</v>
      </c>
    </row>
    <row r="32" spans="1:26" x14ac:dyDescent="0.25">
      <c r="A32" s="25" t="s">
        <v>61</v>
      </c>
      <c r="B32" s="26"/>
      <c r="C32" s="26"/>
      <c r="D32" s="26"/>
      <c r="E32" s="26"/>
      <c r="F32" s="26"/>
      <c r="G32" s="26"/>
      <c r="H32" s="26"/>
      <c r="I32" s="26"/>
      <c r="J32" s="26"/>
      <c r="K32" s="26"/>
      <c r="L32" s="26"/>
      <c r="M32" s="26"/>
      <c r="N32" s="26"/>
    </row>
    <row r="33" spans="1:23" ht="18.75" x14ac:dyDescent="0.3">
      <c r="C33" s="14" t="s">
        <v>29</v>
      </c>
      <c r="S33">
        <v>2212</v>
      </c>
      <c r="T33">
        <v>4207</v>
      </c>
      <c r="U33">
        <v>4773</v>
      </c>
      <c r="V33">
        <v>3919</v>
      </c>
      <c r="W33">
        <v>5259</v>
      </c>
    </row>
    <row r="34" spans="1:23" x14ac:dyDescent="0.25">
      <c r="C34" s="12" t="s">
        <v>27</v>
      </c>
      <c r="D34" s="12" t="s">
        <v>28</v>
      </c>
      <c r="E34" s="13"/>
      <c r="F34" s="13" t="s">
        <v>26</v>
      </c>
      <c r="S34">
        <v>2843</v>
      </c>
      <c r="T34">
        <v>4588</v>
      </c>
      <c r="U34">
        <v>5487</v>
      </c>
      <c r="V34">
        <v>4506</v>
      </c>
      <c r="W34">
        <v>7420</v>
      </c>
    </row>
    <row r="35" spans="1:23" x14ac:dyDescent="0.25">
      <c r="B35" s="7">
        <v>40649</v>
      </c>
      <c r="C35" s="11">
        <v>2083.1099999999901</v>
      </c>
      <c r="D35">
        <v>1915.99</v>
      </c>
      <c r="E35" s="11">
        <v>5</v>
      </c>
      <c r="F35">
        <f>(1-(D35/C35))*100</f>
        <v>8.0226200248662334</v>
      </c>
      <c r="S35">
        <v>4412</v>
      </c>
      <c r="T35">
        <v>7617</v>
      </c>
      <c r="U35">
        <v>8381</v>
      </c>
      <c r="V35">
        <v>6872</v>
      </c>
      <c r="W35">
        <v>10650</v>
      </c>
    </row>
    <row r="36" spans="1:23" x14ac:dyDescent="0.25">
      <c r="B36" t="s">
        <v>10</v>
      </c>
      <c r="C36" s="11">
        <v>2903.15</v>
      </c>
      <c r="D36">
        <v>2675.28</v>
      </c>
      <c r="E36" s="11">
        <v>19</v>
      </c>
      <c r="F36">
        <f t="shared" ref="F36:F37" si="2">(1-(D36/C36))*100</f>
        <v>7.8490605032464744</v>
      </c>
    </row>
    <row r="37" spans="1:23" x14ac:dyDescent="0.25">
      <c r="B37" t="s">
        <v>9</v>
      </c>
      <c r="C37" s="11">
        <v>3487.91</v>
      </c>
      <c r="D37">
        <v>3345.11</v>
      </c>
      <c r="E37" s="11">
        <v>117</v>
      </c>
      <c r="F37">
        <f t="shared" si="2"/>
        <v>4.0941423373882841</v>
      </c>
    </row>
    <row r="39" spans="1:23" x14ac:dyDescent="0.25">
      <c r="B39" s="18" t="s">
        <v>41</v>
      </c>
    </row>
    <row r="40" spans="1:23" x14ac:dyDescent="0.25">
      <c r="A40" t="s">
        <v>45</v>
      </c>
      <c r="B40" t="s">
        <v>40</v>
      </c>
      <c r="C40" s="11">
        <v>2.12</v>
      </c>
      <c r="F40" s="11">
        <v>2.62</v>
      </c>
      <c r="I40">
        <v>2.4049999999999998</v>
      </c>
      <c r="L40">
        <v>3.05</v>
      </c>
      <c r="R40" s="27" t="s">
        <v>62</v>
      </c>
      <c r="S40" s="25" t="s">
        <v>61</v>
      </c>
      <c r="T40" s="29" t="s">
        <v>67</v>
      </c>
      <c r="U40" s="31" t="s">
        <v>68</v>
      </c>
      <c r="V40" s="33" t="s">
        <v>69</v>
      </c>
    </row>
    <row r="41" spans="1:23" x14ac:dyDescent="0.25">
      <c r="C41" s="2" t="s">
        <v>35</v>
      </c>
      <c r="D41" s="2" t="s">
        <v>63</v>
      </c>
      <c r="E41" s="2"/>
      <c r="F41" s="3" t="s">
        <v>36</v>
      </c>
      <c r="G41" s="3" t="s">
        <v>64</v>
      </c>
      <c r="H41" s="3"/>
      <c r="I41" s="3" t="s">
        <v>38</v>
      </c>
      <c r="J41" s="3" t="s">
        <v>65</v>
      </c>
      <c r="K41" s="3"/>
      <c r="L41" s="3" t="s">
        <v>37</v>
      </c>
      <c r="M41" s="3" t="s">
        <v>66</v>
      </c>
      <c r="Q41" s="11">
        <v>0.1</v>
      </c>
      <c r="R41" s="40">
        <f>(1-(D27/C27))*100</f>
        <v>35.347149214395969</v>
      </c>
      <c r="S41" s="40">
        <f>(1-(D42/C42))*100</f>
        <v>8.0226200248662334</v>
      </c>
      <c r="T41" s="40">
        <f>(1-(D57/C57))*100</f>
        <v>16.046200152655977</v>
      </c>
      <c r="U41" s="40">
        <f>(1-(D72/C72))*100</f>
        <v>24.069780280446196</v>
      </c>
      <c r="V41" s="40">
        <f>(1-(D87/C87))*100</f>
        <v>32.092400305312417</v>
      </c>
    </row>
    <row r="42" spans="1:23" x14ac:dyDescent="0.25">
      <c r="A42" t="s">
        <v>42</v>
      </c>
      <c r="C42" s="19">
        <f>C35*C40</f>
        <v>4416.1931999999797</v>
      </c>
      <c r="D42" s="19">
        <f>D35*C40</f>
        <v>4061.8988000000004</v>
      </c>
      <c r="E42" s="17"/>
      <c r="F42" s="19">
        <f>C36*$F$40</f>
        <v>7606.2530000000006</v>
      </c>
      <c r="G42" s="19">
        <f>D36*$F$40</f>
        <v>7009.2336000000005</v>
      </c>
      <c r="H42" s="17"/>
      <c r="I42" s="19">
        <f>$I$40*C37</f>
        <v>8388.4235499999995</v>
      </c>
      <c r="J42" s="19">
        <f>$I$40*D37</f>
        <v>8044.9895499999993</v>
      </c>
      <c r="K42" s="17"/>
      <c r="L42" s="19">
        <f>C37*$L$40</f>
        <v>10638.125499999998</v>
      </c>
      <c r="M42" s="19">
        <f>D37*$L$40</f>
        <v>10202.585499999999</v>
      </c>
      <c r="Q42" s="11">
        <v>0.02</v>
      </c>
      <c r="R42" s="40">
        <f>(1-(G27/F27))*100</f>
        <v>33.369271308751195</v>
      </c>
      <c r="S42" s="40">
        <f>(1-(G42/F42))*100</f>
        <v>7.8490605032464744</v>
      </c>
      <c r="T42" s="40">
        <f>(1-(G57/F57))*100</f>
        <v>15.697432099616293</v>
      </c>
      <c r="U42" s="40">
        <f>(1-(G72/F72))*100</f>
        <v>23.545803695985402</v>
      </c>
      <c r="V42" s="40">
        <f>(1-(G87/F87))*100</f>
        <v>31.39520865267038</v>
      </c>
    </row>
    <row r="43" spans="1:23" x14ac:dyDescent="0.25">
      <c r="A43" t="s">
        <v>43</v>
      </c>
      <c r="B43">
        <v>0.64</v>
      </c>
      <c r="C43" s="19">
        <f>C42*B43</f>
        <v>2826.3636479999873</v>
      </c>
      <c r="D43" s="19">
        <f>D42*B43</f>
        <v>2599.6152320000001</v>
      </c>
      <c r="E43">
        <v>0.64</v>
      </c>
      <c r="F43" s="19">
        <f>F42*E43</f>
        <v>4868.0019200000006</v>
      </c>
      <c r="G43" s="19">
        <f>G42*E43</f>
        <v>4485.9095040000002</v>
      </c>
      <c r="H43" s="16">
        <v>0.65</v>
      </c>
      <c r="I43" s="19">
        <f>I42*H43</f>
        <v>5452.4753074999999</v>
      </c>
      <c r="J43" s="19">
        <f>J42*H43</f>
        <v>5229.2432074999997</v>
      </c>
      <c r="K43" s="16">
        <v>0.65</v>
      </c>
      <c r="L43" s="19">
        <f>L42*K43</f>
        <v>6914.7815749999991</v>
      </c>
      <c r="M43" s="19">
        <f>M42*K43</f>
        <v>6631.6805749999994</v>
      </c>
      <c r="Q43" s="11">
        <v>0.01</v>
      </c>
      <c r="R43" s="40">
        <f>(1-(J27/I27))*100</f>
        <v>17.906425337810038</v>
      </c>
      <c r="S43" s="40">
        <f>(1-(J42/I42))*100</f>
        <v>4.0941423373882957</v>
      </c>
      <c r="T43" s="40">
        <f>(1-(J57/I57))*100</f>
        <v>8.1897181980039591</v>
      </c>
      <c r="U43" s="40">
        <f>(1-(J72/I72))*100</f>
        <v>12.285580763265392</v>
      </c>
      <c r="V43" s="40">
        <f>(1-(J87/I87))*100</f>
        <v>16.380009805299157</v>
      </c>
    </row>
    <row r="44" spans="1:23" x14ac:dyDescent="0.25">
      <c r="A44" t="s">
        <v>44</v>
      </c>
      <c r="B44">
        <v>0.78</v>
      </c>
      <c r="C44" s="19">
        <f>C43*B44</f>
        <v>2204.5636454399901</v>
      </c>
      <c r="D44" s="19">
        <f>D43*B44</f>
        <v>2027.6998809600002</v>
      </c>
      <c r="E44">
        <v>0.78</v>
      </c>
      <c r="F44" s="19">
        <f>F43*E44</f>
        <v>3797.0414976000006</v>
      </c>
      <c r="G44" s="19">
        <f>G43*E44</f>
        <v>3499.0094131200003</v>
      </c>
      <c r="H44" s="16">
        <v>0.87</v>
      </c>
      <c r="I44" s="19">
        <f>I43*H44</f>
        <v>4743.6535175250001</v>
      </c>
      <c r="J44" s="19">
        <f>J43*H44</f>
        <v>4549.4415905249998</v>
      </c>
      <c r="K44" s="16">
        <v>0.76</v>
      </c>
      <c r="L44" s="19">
        <f>L43*K44</f>
        <v>5255.2339969999994</v>
      </c>
      <c r="M44" s="19">
        <f>M43*K44</f>
        <v>5040.0772369999995</v>
      </c>
      <c r="Q44" s="11">
        <v>2E-3</v>
      </c>
      <c r="R44" s="40">
        <f>(1-(M27/L27))*100</f>
        <v>17.906425337810038</v>
      </c>
      <c r="S44" s="40">
        <f>(1-(M42/L42))*100</f>
        <v>4.0941423373882841</v>
      </c>
      <c r="T44" s="40">
        <f>(1-(M57/L57))*100</f>
        <v>8.1897181980039484</v>
      </c>
      <c r="U44" s="40">
        <f>(1-(M72/L72))*100</f>
        <v>12.285580763265379</v>
      </c>
      <c r="V44" s="40">
        <f>(1-(M87/L87))*100</f>
        <v>16.380009805299146</v>
      </c>
    </row>
    <row r="45" spans="1:23" x14ac:dyDescent="0.25">
      <c r="A45" t="s">
        <v>46</v>
      </c>
    </row>
    <row r="47" spans="1:23" x14ac:dyDescent="0.25">
      <c r="A47" s="29" t="s">
        <v>67</v>
      </c>
      <c r="B47" s="30"/>
      <c r="C47" s="30"/>
      <c r="D47" s="30"/>
      <c r="E47" s="30"/>
      <c r="F47" s="30"/>
      <c r="G47" s="30"/>
      <c r="H47" s="30"/>
      <c r="I47" s="30"/>
      <c r="J47" s="30"/>
      <c r="K47" s="30"/>
      <c r="L47" s="30"/>
      <c r="M47" s="30"/>
      <c r="N47" s="30"/>
    </row>
    <row r="48" spans="1:23" ht="18.75" x14ac:dyDescent="0.3">
      <c r="C48" s="14" t="s">
        <v>29</v>
      </c>
    </row>
    <row r="49" spans="1:14" x14ac:dyDescent="0.25">
      <c r="C49" s="12" t="s">
        <v>27</v>
      </c>
      <c r="D49" s="12" t="s">
        <v>28</v>
      </c>
      <c r="E49" s="13"/>
      <c r="F49" s="13" t="s">
        <v>26</v>
      </c>
    </row>
    <row r="50" spans="1:14" x14ac:dyDescent="0.25">
      <c r="B50" s="7">
        <v>40649</v>
      </c>
      <c r="C50" s="11">
        <v>2083.1099999999901</v>
      </c>
      <c r="D50">
        <v>1748.85</v>
      </c>
      <c r="E50" s="11">
        <v>5</v>
      </c>
      <c r="F50">
        <f>(1-(D50/C50))*100</f>
        <v>16.046200152655977</v>
      </c>
    </row>
    <row r="51" spans="1:14" x14ac:dyDescent="0.25">
      <c r="B51" t="s">
        <v>10</v>
      </c>
      <c r="C51" s="11">
        <v>2903.15</v>
      </c>
      <c r="D51">
        <v>2447.4299999999898</v>
      </c>
      <c r="E51" s="11">
        <v>19</v>
      </c>
      <c r="F51">
        <f t="shared" ref="F51:F52" si="3">(1-(D51/C51))*100</f>
        <v>15.697432099616282</v>
      </c>
    </row>
    <row r="52" spans="1:14" x14ac:dyDescent="0.25">
      <c r="B52" t="s">
        <v>9</v>
      </c>
      <c r="C52" s="11">
        <v>3487.91</v>
      </c>
      <c r="D52">
        <v>3202.26</v>
      </c>
      <c r="E52" s="11">
        <v>117</v>
      </c>
      <c r="F52">
        <f t="shared" si="3"/>
        <v>8.1897181980039484</v>
      </c>
    </row>
    <row r="54" spans="1:14" x14ac:dyDescent="0.25">
      <c r="B54" s="18" t="s">
        <v>41</v>
      </c>
    </row>
    <row r="55" spans="1:14" x14ac:dyDescent="0.25">
      <c r="A55" t="s">
        <v>45</v>
      </c>
      <c r="B55" t="s">
        <v>40</v>
      </c>
      <c r="C55" s="11">
        <v>2.12</v>
      </c>
      <c r="F55" s="11">
        <v>2.62</v>
      </c>
      <c r="I55">
        <v>2.4049999999999998</v>
      </c>
      <c r="L55">
        <v>3.05</v>
      </c>
    </row>
    <row r="56" spans="1:14" x14ac:dyDescent="0.25">
      <c r="C56" s="2" t="s">
        <v>35</v>
      </c>
      <c r="D56" s="2" t="s">
        <v>70</v>
      </c>
      <c r="E56" s="2"/>
      <c r="F56" s="3" t="s">
        <v>36</v>
      </c>
      <c r="G56" s="3" t="s">
        <v>71</v>
      </c>
      <c r="H56" s="3"/>
      <c r="I56" s="3" t="s">
        <v>38</v>
      </c>
      <c r="J56" s="3" t="s">
        <v>72</v>
      </c>
      <c r="K56" s="3"/>
      <c r="L56" s="3" t="s">
        <v>37</v>
      </c>
      <c r="M56" s="3" t="s">
        <v>73</v>
      </c>
    </row>
    <row r="57" spans="1:14" x14ac:dyDescent="0.25">
      <c r="A57" t="s">
        <v>42</v>
      </c>
      <c r="C57" s="19">
        <f>C50*C55</f>
        <v>4416.1931999999797</v>
      </c>
      <c r="D57" s="19">
        <f>D50*C55</f>
        <v>3707.5619999999999</v>
      </c>
      <c r="E57" s="17"/>
      <c r="F57" s="19">
        <f>C51*$F$40</f>
        <v>7606.2530000000006</v>
      </c>
      <c r="G57" s="19">
        <f>D51*$F$40</f>
        <v>6412.2665999999736</v>
      </c>
      <c r="H57" s="17"/>
      <c r="I57" s="19">
        <f>$I$40*C52</f>
        <v>8388.4235499999995</v>
      </c>
      <c r="J57" s="19">
        <f>$I$40*D52</f>
        <v>7701.4353000000001</v>
      </c>
      <c r="K57" s="17"/>
      <c r="L57" s="19">
        <f>C52*$L$40</f>
        <v>10638.125499999998</v>
      </c>
      <c r="M57" s="19">
        <f>D52*$L$40</f>
        <v>9766.893</v>
      </c>
    </row>
    <row r="58" spans="1:14" x14ac:dyDescent="0.25">
      <c r="A58" t="s">
        <v>43</v>
      </c>
      <c r="B58">
        <v>0.64</v>
      </c>
      <c r="C58" s="19">
        <f>C57*B58</f>
        <v>2826.3636479999873</v>
      </c>
      <c r="D58" s="19">
        <f>D57*B58</f>
        <v>2372.83968</v>
      </c>
      <c r="E58">
        <v>0.64</v>
      </c>
      <c r="F58" s="19">
        <f>F57*E58</f>
        <v>4868.0019200000006</v>
      </c>
      <c r="G58" s="19">
        <f>G57*E58</f>
        <v>4103.8506239999833</v>
      </c>
      <c r="H58" s="16">
        <v>0.65</v>
      </c>
      <c r="I58" s="19">
        <f>I57*H58</f>
        <v>5452.4753074999999</v>
      </c>
      <c r="J58" s="19">
        <f>J57*H58</f>
        <v>5005.9329450000005</v>
      </c>
      <c r="K58" s="16">
        <v>0.65</v>
      </c>
      <c r="L58" s="19">
        <f>L57*K58</f>
        <v>6914.7815749999991</v>
      </c>
      <c r="M58" s="19">
        <f>M57*K58</f>
        <v>6348.48045</v>
      </c>
    </row>
    <row r="59" spans="1:14" x14ac:dyDescent="0.25">
      <c r="A59" t="s">
        <v>44</v>
      </c>
      <c r="B59">
        <v>0.78</v>
      </c>
      <c r="C59" s="19">
        <f>C58*B59</f>
        <v>2204.5636454399901</v>
      </c>
      <c r="D59" s="19">
        <f>D58*B59</f>
        <v>1850.8149504</v>
      </c>
      <c r="E59">
        <v>0.78</v>
      </c>
      <c r="F59" s="19">
        <f>F58*E59</f>
        <v>3797.0414976000006</v>
      </c>
      <c r="G59" s="19">
        <f>G58*E59</f>
        <v>3201.003486719987</v>
      </c>
      <c r="H59" s="16">
        <v>0.87</v>
      </c>
      <c r="I59" s="19">
        <f>I58*H59</f>
        <v>4743.6535175250001</v>
      </c>
      <c r="J59" s="19">
        <f>J58*H59</f>
        <v>4355.1616621500007</v>
      </c>
      <c r="K59" s="16">
        <v>0.76</v>
      </c>
      <c r="L59" s="19">
        <f>L58*K59</f>
        <v>5255.2339969999994</v>
      </c>
      <c r="M59" s="19">
        <f>M58*K59</f>
        <v>4824.8451420000001</v>
      </c>
    </row>
    <row r="60" spans="1:14" x14ac:dyDescent="0.25">
      <c r="A60" t="s">
        <v>46</v>
      </c>
    </row>
    <row r="62" spans="1:14" x14ac:dyDescent="0.25">
      <c r="A62" s="31" t="s">
        <v>68</v>
      </c>
      <c r="B62" s="32"/>
      <c r="C62" s="32"/>
      <c r="D62" s="32"/>
      <c r="E62" s="32"/>
      <c r="F62" s="32"/>
      <c r="G62" s="32"/>
      <c r="H62" s="32"/>
      <c r="I62" s="32"/>
      <c r="J62" s="32"/>
      <c r="K62" s="32"/>
      <c r="L62" s="32"/>
      <c r="M62" s="32"/>
      <c r="N62" s="32"/>
    </row>
    <row r="63" spans="1:14" ht="18.75" x14ac:dyDescent="0.3">
      <c r="C63" s="14" t="s">
        <v>29</v>
      </c>
    </row>
    <row r="64" spans="1:14" x14ac:dyDescent="0.25">
      <c r="C64" s="12" t="s">
        <v>27</v>
      </c>
      <c r="D64" s="12" t="s">
        <v>28</v>
      </c>
      <c r="E64" s="13"/>
      <c r="F64" s="13" t="s">
        <v>26</v>
      </c>
    </row>
    <row r="65" spans="1:14" x14ac:dyDescent="0.25">
      <c r="B65" s="7">
        <v>40649</v>
      </c>
      <c r="C65" s="11">
        <v>2083.1099999999901</v>
      </c>
      <c r="D65">
        <v>1581.70999999999</v>
      </c>
      <c r="E65" s="11">
        <v>5</v>
      </c>
      <c r="F65">
        <f>(1-(D65/C65))*100</f>
        <v>24.069780280446185</v>
      </c>
    </row>
    <row r="66" spans="1:14" x14ac:dyDescent="0.25">
      <c r="B66" t="s">
        <v>10</v>
      </c>
      <c r="C66" s="11">
        <v>2903.15</v>
      </c>
      <c r="D66">
        <v>2219.58</v>
      </c>
      <c r="E66" s="11">
        <v>19</v>
      </c>
      <c r="F66">
        <f t="shared" ref="F66:F67" si="4">(1-(D66/C66))*100</f>
        <v>23.545803695985402</v>
      </c>
    </row>
    <row r="67" spans="1:14" x14ac:dyDescent="0.25">
      <c r="B67" t="s">
        <v>9</v>
      </c>
      <c r="C67" s="11">
        <v>3487.91</v>
      </c>
      <c r="D67">
        <v>3059.3999999999901</v>
      </c>
      <c r="E67" s="11">
        <v>117</v>
      </c>
      <c r="F67">
        <f t="shared" si="4"/>
        <v>12.285580763265392</v>
      </c>
    </row>
    <row r="69" spans="1:14" x14ac:dyDescent="0.25">
      <c r="B69" s="18" t="s">
        <v>41</v>
      </c>
    </row>
    <row r="70" spans="1:14" x14ac:dyDescent="0.25">
      <c r="A70" t="s">
        <v>45</v>
      </c>
      <c r="B70" t="s">
        <v>40</v>
      </c>
      <c r="C70" s="11">
        <v>2.12</v>
      </c>
      <c r="F70" s="11">
        <v>2.62</v>
      </c>
      <c r="I70">
        <v>2.4049999999999998</v>
      </c>
      <c r="L70">
        <v>3.05</v>
      </c>
    </row>
    <row r="71" spans="1:14" x14ac:dyDescent="0.25">
      <c r="C71" s="2" t="s">
        <v>35</v>
      </c>
      <c r="D71" s="2" t="s">
        <v>74</v>
      </c>
      <c r="E71" s="2"/>
      <c r="F71" s="3" t="s">
        <v>36</v>
      </c>
      <c r="G71" s="3" t="s">
        <v>75</v>
      </c>
      <c r="H71" s="3"/>
      <c r="I71" s="3" t="s">
        <v>38</v>
      </c>
      <c r="J71" s="3" t="s">
        <v>76</v>
      </c>
      <c r="K71" s="3"/>
      <c r="L71" s="3" t="s">
        <v>37</v>
      </c>
      <c r="M71" s="3" t="s">
        <v>77</v>
      </c>
    </row>
    <row r="72" spans="1:14" x14ac:dyDescent="0.25">
      <c r="A72" t="s">
        <v>42</v>
      </c>
      <c r="C72" s="19">
        <f>C65*C70</f>
        <v>4416.1931999999797</v>
      </c>
      <c r="D72" s="19">
        <f>D65*C70</f>
        <v>3353.2251999999789</v>
      </c>
      <c r="E72" s="17"/>
      <c r="F72" s="19">
        <f>C66*$F$40</f>
        <v>7606.2530000000006</v>
      </c>
      <c r="G72" s="19">
        <f>D66*$F$40</f>
        <v>5815.2996000000003</v>
      </c>
      <c r="H72" s="17"/>
      <c r="I72" s="19">
        <f>$I$40*C67</f>
        <v>8388.4235499999995</v>
      </c>
      <c r="J72" s="19">
        <f>$I$40*D67</f>
        <v>7357.8569999999754</v>
      </c>
      <c r="K72" s="17"/>
      <c r="L72" s="19">
        <f>C67*$L$40</f>
        <v>10638.125499999998</v>
      </c>
      <c r="M72" s="19">
        <f>D67*$L$40</f>
        <v>9331.1699999999691</v>
      </c>
    </row>
    <row r="73" spans="1:14" x14ac:dyDescent="0.25">
      <c r="A73" t="s">
        <v>43</v>
      </c>
      <c r="B73">
        <v>0.64</v>
      </c>
      <c r="C73" s="19">
        <f>C72*B73</f>
        <v>2826.3636479999873</v>
      </c>
      <c r="D73" s="19">
        <f>D72*B73</f>
        <v>2146.0641279999863</v>
      </c>
      <c r="E73">
        <v>0.64</v>
      </c>
      <c r="F73" s="19">
        <f>F72*E73</f>
        <v>4868.0019200000006</v>
      </c>
      <c r="G73" s="19">
        <f>G72*E73</f>
        <v>3721.7917440000001</v>
      </c>
      <c r="H73" s="16">
        <v>0.65</v>
      </c>
      <c r="I73" s="19">
        <f>I72*H73</f>
        <v>5452.4753074999999</v>
      </c>
      <c r="J73" s="19">
        <f>J72*H73</f>
        <v>4782.6070499999842</v>
      </c>
      <c r="K73" s="16">
        <v>0.65</v>
      </c>
      <c r="L73" s="19">
        <f>L72*K73</f>
        <v>6914.7815749999991</v>
      </c>
      <c r="M73" s="19">
        <f>M72*K73</f>
        <v>6065.2604999999803</v>
      </c>
    </row>
    <row r="74" spans="1:14" x14ac:dyDescent="0.25">
      <c r="A74" t="s">
        <v>44</v>
      </c>
      <c r="B74">
        <v>0.78</v>
      </c>
      <c r="C74" s="19">
        <f>C73*B74</f>
        <v>2204.5636454399901</v>
      </c>
      <c r="D74" s="19">
        <f>D73*B74</f>
        <v>1673.9300198399894</v>
      </c>
      <c r="E74">
        <v>0.78</v>
      </c>
      <c r="F74" s="19">
        <f>F73*E74</f>
        <v>3797.0414976000006</v>
      </c>
      <c r="G74" s="19">
        <f>G73*E74</f>
        <v>2902.99756032</v>
      </c>
      <c r="H74" s="16">
        <v>0.87</v>
      </c>
      <c r="I74" s="19">
        <f>I73*H74</f>
        <v>4743.6535175250001</v>
      </c>
      <c r="J74" s="19">
        <f>J73*H74</f>
        <v>4160.8681334999865</v>
      </c>
      <c r="K74" s="16">
        <v>0.76</v>
      </c>
      <c r="L74" s="19">
        <f>L73*K74</f>
        <v>5255.2339969999994</v>
      </c>
      <c r="M74" s="19">
        <f>M73*K74</f>
        <v>4609.597979999985</v>
      </c>
    </row>
    <row r="75" spans="1:14" x14ac:dyDescent="0.25">
      <c r="A75" t="s">
        <v>46</v>
      </c>
    </row>
    <row r="77" spans="1:14" x14ac:dyDescent="0.25">
      <c r="A77" s="33" t="s">
        <v>69</v>
      </c>
      <c r="B77" s="34"/>
      <c r="C77" s="34"/>
      <c r="D77" s="34"/>
      <c r="E77" s="34"/>
      <c r="F77" s="34"/>
      <c r="G77" s="34"/>
      <c r="H77" s="34"/>
      <c r="I77" s="34"/>
      <c r="J77" s="34"/>
      <c r="K77" s="34"/>
      <c r="L77" s="34"/>
      <c r="M77" s="34"/>
      <c r="N77" s="34"/>
    </row>
    <row r="78" spans="1:14" ht="18.75" x14ac:dyDescent="0.3">
      <c r="C78" s="14" t="s">
        <v>29</v>
      </c>
    </row>
    <row r="79" spans="1:14" x14ac:dyDescent="0.25">
      <c r="C79" s="12" t="s">
        <v>27</v>
      </c>
      <c r="D79" s="12" t="s">
        <v>28</v>
      </c>
      <c r="E79" s="13"/>
      <c r="F79" s="13" t="s">
        <v>26</v>
      </c>
    </row>
    <row r="80" spans="1:14" x14ac:dyDescent="0.25">
      <c r="B80" s="7">
        <v>40649</v>
      </c>
      <c r="C80" s="11">
        <v>2083.1099999999901</v>
      </c>
      <c r="D80">
        <v>1414.59</v>
      </c>
      <c r="E80" s="11">
        <v>5</v>
      </c>
      <c r="F80">
        <f>(1-(D80/C80))*100</f>
        <v>32.09240030531241</v>
      </c>
    </row>
    <row r="81" spans="1:13" x14ac:dyDescent="0.25">
      <c r="B81" t="s">
        <v>10</v>
      </c>
      <c r="C81" s="11">
        <v>2903.15</v>
      </c>
      <c r="D81">
        <v>1991.7</v>
      </c>
      <c r="E81" s="11">
        <v>19</v>
      </c>
      <c r="F81">
        <f t="shared" ref="F81:F82" si="5">(1-(D81/C81))*100</f>
        <v>31.39520865267038</v>
      </c>
    </row>
    <row r="82" spans="1:13" x14ac:dyDescent="0.25">
      <c r="B82" t="s">
        <v>9</v>
      </c>
      <c r="C82" s="11">
        <v>3487.91</v>
      </c>
      <c r="D82">
        <v>2916.5899999999901</v>
      </c>
      <c r="E82" s="11">
        <v>117</v>
      </c>
      <c r="F82">
        <f t="shared" si="5"/>
        <v>16.380009805299157</v>
      </c>
    </row>
    <row r="84" spans="1:13" x14ac:dyDescent="0.25">
      <c r="B84" s="18" t="s">
        <v>41</v>
      </c>
    </row>
    <row r="85" spans="1:13" x14ac:dyDescent="0.25">
      <c r="A85" t="s">
        <v>45</v>
      </c>
      <c r="B85" t="s">
        <v>40</v>
      </c>
      <c r="C85" s="11">
        <v>2.12</v>
      </c>
      <c r="F85" s="11">
        <v>2.62</v>
      </c>
      <c r="I85">
        <v>2.4049999999999998</v>
      </c>
      <c r="L85">
        <v>3.05</v>
      </c>
    </row>
    <row r="86" spans="1:13" x14ac:dyDescent="0.25">
      <c r="C86" s="2" t="s">
        <v>35</v>
      </c>
      <c r="D86" s="2" t="s">
        <v>63</v>
      </c>
      <c r="E86" s="2"/>
      <c r="F86" s="3" t="s">
        <v>36</v>
      </c>
      <c r="G86" s="3" t="s">
        <v>64</v>
      </c>
      <c r="H86" s="3"/>
      <c r="I86" s="3" t="s">
        <v>38</v>
      </c>
      <c r="J86" s="3" t="s">
        <v>65</v>
      </c>
      <c r="K86" s="3"/>
      <c r="L86" s="3" t="s">
        <v>37</v>
      </c>
      <c r="M86" s="3" t="s">
        <v>66</v>
      </c>
    </row>
    <row r="87" spans="1:13" x14ac:dyDescent="0.25">
      <c r="A87" t="s">
        <v>42</v>
      </c>
      <c r="C87" s="19">
        <f>C80*C85</f>
        <v>4416.1931999999797</v>
      </c>
      <c r="D87" s="19">
        <f>D80*C85</f>
        <v>2998.9308000000001</v>
      </c>
      <c r="E87" s="17"/>
      <c r="F87" s="19">
        <f>C81*$F$40</f>
        <v>7606.2530000000006</v>
      </c>
      <c r="G87" s="19">
        <f>D81*$F$40</f>
        <v>5218.2539999999999</v>
      </c>
      <c r="H87" s="17"/>
      <c r="I87" s="19">
        <f>$I$40*C82</f>
        <v>8388.4235499999995</v>
      </c>
      <c r="J87" s="19">
        <f>$I$40*D82</f>
        <v>7014.3989499999761</v>
      </c>
      <c r="K87" s="17"/>
      <c r="L87" s="19">
        <f>C82*$L$40</f>
        <v>10638.125499999998</v>
      </c>
      <c r="M87" s="19">
        <f>D82*$L$40</f>
        <v>8895.5994999999693</v>
      </c>
    </row>
    <row r="88" spans="1:13" x14ac:dyDescent="0.25">
      <c r="A88" t="s">
        <v>43</v>
      </c>
      <c r="B88">
        <v>0.64</v>
      </c>
      <c r="C88" s="19">
        <f>C87*B88</f>
        <v>2826.3636479999873</v>
      </c>
      <c r="D88" s="19">
        <f>D87*B88</f>
        <v>1919.3157120000001</v>
      </c>
      <c r="E88">
        <v>0.64</v>
      </c>
      <c r="F88" s="19">
        <f>F87*E88</f>
        <v>4868.0019200000006</v>
      </c>
      <c r="G88" s="19">
        <f>G87*E88</f>
        <v>3339.6825600000002</v>
      </c>
      <c r="H88" s="16">
        <v>0.65</v>
      </c>
      <c r="I88" s="19">
        <f>I87*H88</f>
        <v>5452.4753074999999</v>
      </c>
      <c r="J88" s="19">
        <f>J87*H88</f>
        <v>4559.3593174999851</v>
      </c>
      <c r="K88" s="16">
        <v>0.65</v>
      </c>
      <c r="L88" s="19">
        <f>L87*K88</f>
        <v>6914.7815749999991</v>
      </c>
      <c r="M88" s="19">
        <f>M87*K88</f>
        <v>5782.1396749999803</v>
      </c>
    </row>
    <row r="89" spans="1:13" x14ac:dyDescent="0.25">
      <c r="A89" t="s">
        <v>44</v>
      </c>
      <c r="B89">
        <v>0.78</v>
      </c>
      <c r="C89" s="19">
        <f>C88*B89</f>
        <v>2204.5636454399901</v>
      </c>
      <c r="D89" s="19">
        <f>D88*B89</f>
        <v>1497.06625536</v>
      </c>
      <c r="E89">
        <v>0.78</v>
      </c>
      <c r="F89" s="19">
        <f>F88*E89</f>
        <v>3797.0414976000006</v>
      </c>
      <c r="G89" s="19">
        <f>G88*E89</f>
        <v>2604.9523968000003</v>
      </c>
      <c r="H89" s="16">
        <v>0.87</v>
      </c>
      <c r="I89" s="19">
        <f>I88*H89</f>
        <v>4743.6535175250001</v>
      </c>
      <c r="J89" s="19">
        <f>J88*H89</f>
        <v>3966.642606224987</v>
      </c>
      <c r="K89" s="16">
        <v>0.76</v>
      </c>
      <c r="L89" s="19">
        <f>L88*K89</f>
        <v>5255.2339969999994</v>
      </c>
      <c r="M89" s="19">
        <f>M88*K89</f>
        <v>4394.4261529999849</v>
      </c>
    </row>
    <row r="90" spans="1:13" x14ac:dyDescent="0.25">
      <c r="A90" t="s">
        <v>46</v>
      </c>
    </row>
  </sheetData>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A6B7FA-FF3F-4F44-9F0E-7610C1026358}">
  <dimension ref="B3:I19"/>
  <sheetViews>
    <sheetView topLeftCell="B1" workbookViewId="0">
      <selection activeCell="J11" sqref="J11"/>
    </sheetView>
  </sheetViews>
  <sheetFormatPr defaultRowHeight="15" x14ac:dyDescent="0.25"/>
  <cols>
    <col min="8" max="8" width="15.85546875" style="11" customWidth="1"/>
  </cols>
  <sheetData>
    <row r="3" spans="2:9" x14ac:dyDescent="0.25">
      <c r="B3" t="s">
        <v>30</v>
      </c>
      <c r="C3" t="s">
        <v>31</v>
      </c>
      <c r="D3" t="s">
        <v>32</v>
      </c>
      <c r="E3" t="s">
        <v>35</v>
      </c>
      <c r="F3" t="s">
        <v>36</v>
      </c>
      <c r="G3" t="s">
        <v>38</v>
      </c>
      <c r="H3" s="11" t="s">
        <v>39</v>
      </c>
      <c r="I3" t="s">
        <v>37</v>
      </c>
    </row>
    <row r="4" spans="2:9" x14ac:dyDescent="0.25">
      <c r="D4" t="s">
        <v>33</v>
      </c>
      <c r="E4" t="s">
        <v>33</v>
      </c>
    </row>
    <row r="5" spans="2:9" x14ac:dyDescent="0.25">
      <c r="B5" t="s">
        <v>34</v>
      </c>
      <c r="C5">
        <v>24764.74</v>
      </c>
      <c r="D5">
        <v>307</v>
      </c>
      <c r="E5" s="10">
        <v>315.18</v>
      </c>
      <c r="F5">
        <v>316.33999999999997</v>
      </c>
      <c r="G5" s="10">
        <v>317.39999999999998</v>
      </c>
      <c r="H5" s="15">
        <v>316.60000000000002</v>
      </c>
      <c r="I5" s="10">
        <v>317.56</v>
      </c>
    </row>
    <row r="6" spans="2:9" x14ac:dyDescent="0.25">
      <c r="B6" t="s">
        <v>34</v>
      </c>
      <c r="C6">
        <v>24229.48</v>
      </c>
      <c r="D6">
        <v>305</v>
      </c>
      <c r="E6" s="10">
        <v>311.69</v>
      </c>
      <c r="F6">
        <v>313.13</v>
      </c>
      <c r="G6" s="10">
        <v>313.83999999999997</v>
      </c>
      <c r="H6" s="15">
        <v>312.98</v>
      </c>
      <c r="I6" s="10">
        <v>316.3</v>
      </c>
    </row>
    <row r="7" spans="2:9" x14ac:dyDescent="0.25">
      <c r="B7" t="s">
        <v>34</v>
      </c>
      <c r="C7">
        <v>23896.78</v>
      </c>
      <c r="D7">
        <v>304.49</v>
      </c>
      <c r="E7" s="10">
        <v>310.39999999999998</v>
      </c>
      <c r="F7">
        <v>313.41000000000003</v>
      </c>
      <c r="G7" s="10">
        <v>313.76</v>
      </c>
      <c r="H7" s="15">
        <v>313.18</v>
      </c>
      <c r="I7" s="10">
        <v>316.60000000000002</v>
      </c>
    </row>
    <row r="8" spans="2:9" x14ac:dyDescent="0.25">
      <c r="B8" t="s">
        <v>34</v>
      </c>
      <c r="C8">
        <v>23436.35</v>
      </c>
      <c r="D8">
        <v>303.61</v>
      </c>
      <c r="E8">
        <v>309.81</v>
      </c>
      <c r="F8">
        <v>313.26</v>
      </c>
      <c r="G8">
        <v>313.52999999999997</v>
      </c>
      <c r="H8" s="11">
        <v>313.01</v>
      </c>
      <c r="I8">
        <v>316.5</v>
      </c>
    </row>
    <row r="9" spans="2:9" x14ac:dyDescent="0.25">
      <c r="B9" t="s">
        <v>34</v>
      </c>
      <c r="C9">
        <v>22879.01</v>
      </c>
      <c r="D9">
        <v>300.98</v>
      </c>
      <c r="E9">
        <v>309.91000000000003</v>
      </c>
      <c r="F9">
        <v>313.31</v>
      </c>
      <c r="G9">
        <v>313.60000000000002</v>
      </c>
      <c r="H9" s="11">
        <v>313.06</v>
      </c>
      <c r="I9">
        <v>316.52999999999997</v>
      </c>
    </row>
    <row r="10" spans="2:9" x14ac:dyDescent="0.25">
      <c r="B10" t="s">
        <v>34</v>
      </c>
      <c r="C10">
        <v>22154.799999999999</v>
      </c>
      <c r="D10">
        <v>299.02</v>
      </c>
      <c r="E10">
        <v>309.85000000000002</v>
      </c>
      <c r="F10">
        <v>313.25</v>
      </c>
      <c r="G10">
        <v>313.54000000000002</v>
      </c>
      <c r="H10" s="11">
        <v>313.01</v>
      </c>
      <c r="I10">
        <v>316.5</v>
      </c>
    </row>
    <row r="11" spans="2:9" x14ac:dyDescent="0.25">
      <c r="B11" t="s">
        <v>34</v>
      </c>
      <c r="C11">
        <v>22075</v>
      </c>
    </row>
    <row r="12" spans="2:9" x14ac:dyDescent="0.25">
      <c r="B12" t="s">
        <v>34</v>
      </c>
      <c r="C12">
        <v>22001.9</v>
      </c>
      <c r="D12">
        <v>297</v>
      </c>
      <c r="E12">
        <v>303.8</v>
      </c>
      <c r="F12">
        <v>308.88</v>
      </c>
      <c r="G12">
        <v>310.58999999999997</v>
      </c>
      <c r="H12" s="11">
        <v>307.5</v>
      </c>
      <c r="I12">
        <v>316.47000000000003</v>
      </c>
    </row>
    <row r="13" spans="2:9" x14ac:dyDescent="0.25">
      <c r="B13" t="s">
        <v>34</v>
      </c>
      <c r="C13">
        <v>21353</v>
      </c>
      <c r="D13">
        <v>295</v>
      </c>
      <c r="E13">
        <v>303.24</v>
      </c>
      <c r="F13">
        <v>308.8</v>
      </c>
      <c r="G13">
        <v>310.51</v>
      </c>
      <c r="H13" s="11">
        <v>307.37</v>
      </c>
      <c r="I13">
        <v>316.45999999999998</v>
      </c>
    </row>
    <row r="14" spans="2:9" x14ac:dyDescent="0.25">
      <c r="B14" t="s">
        <v>34</v>
      </c>
      <c r="C14">
        <v>20360.64</v>
      </c>
      <c r="D14">
        <v>293.5</v>
      </c>
      <c r="E14">
        <v>303.14999999999998</v>
      </c>
      <c r="F14">
        <v>308.8</v>
      </c>
      <c r="G14">
        <v>310.52999999999997</v>
      </c>
      <c r="H14" s="11">
        <v>307.35000000000002</v>
      </c>
      <c r="I14">
        <v>316.45999999999998</v>
      </c>
    </row>
    <row r="15" spans="2:9" x14ac:dyDescent="0.25">
      <c r="B15" t="s">
        <v>34</v>
      </c>
      <c r="C15">
        <v>19912.439999999999</v>
      </c>
      <c r="D15">
        <v>292.39999999999998</v>
      </c>
      <c r="E15">
        <v>303</v>
      </c>
      <c r="F15">
        <v>308.72000000000003</v>
      </c>
      <c r="G15">
        <v>310.47000000000003</v>
      </c>
      <c r="H15" s="11">
        <v>307.27</v>
      </c>
      <c r="I15">
        <v>316.44</v>
      </c>
    </row>
    <row r="16" spans="2:9" x14ac:dyDescent="0.25">
      <c r="B16" t="s">
        <v>34</v>
      </c>
      <c r="C16">
        <v>19763</v>
      </c>
    </row>
    <row r="17" spans="2:9" x14ac:dyDescent="0.25">
      <c r="B17" t="s">
        <v>34</v>
      </c>
      <c r="C17">
        <v>19569.61</v>
      </c>
      <c r="D17">
        <v>288.94</v>
      </c>
      <c r="E17">
        <v>297.44</v>
      </c>
      <c r="F17">
        <v>299.33999999999997</v>
      </c>
      <c r="G17">
        <v>299.75</v>
      </c>
      <c r="H17" s="11">
        <v>298.92</v>
      </c>
      <c r="I17">
        <v>300.83</v>
      </c>
    </row>
    <row r="18" spans="2:9" x14ac:dyDescent="0.25">
      <c r="B18" t="s">
        <v>34</v>
      </c>
      <c r="C18">
        <v>19058.87</v>
      </c>
      <c r="D18">
        <v>288.32</v>
      </c>
      <c r="E18">
        <v>296.98</v>
      </c>
      <c r="F18">
        <v>298.97000000000003</v>
      </c>
      <c r="G18">
        <v>299.33999999999997</v>
      </c>
      <c r="H18" s="11">
        <v>298.60000000000002</v>
      </c>
      <c r="I18">
        <v>300.33</v>
      </c>
    </row>
    <row r="19" spans="2:9" x14ac:dyDescent="0.25">
      <c r="C19">
        <v>18772.46</v>
      </c>
      <c r="D19">
        <v>287.12</v>
      </c>
      <c r="E19">
        <v>296.70999999999998</v>
      </c>
      <c r="F19">
        <v>298.73</v>
      </c>
      <c r="G19">
        <v>299.11</v>
      </c>
      <c r="H19" s="11">
        <v>298.35000000000002</v>
      </c>
      <c r="I19">
        <v>300.13</v>
      </c>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4DFF87-F3A6-4CBB-81C4-A07B4A3965F5}">
  <dimension ref="A3:L7"/>
  <sheetViews>
    <sheetView topLeftCell="C1" workbookViewId="0">
      <selection activeCell="T8" sqref="T8"/>
    </sheetView>
  </sheetViews>
  <sheetFormatPr defaultRowHeight="15" x14ac:dyDescent="0.25"/>
  <cols>
    <col min="3" max="3" width="15.28515625" customWidth="1"/>
    <col min="4" max="6" width="14.7109375" customWidth="1"/>
    <col min="7" max="7" width="17.28515625" customWidth="1"/>
    <col min="8" max="8" width="11.7109375" customWidth="1"/>
    <col min="9" max="9" width="12" customWidth="1"/>
    <col min="10" max="10" width="12.28515625" customWidth="1"/>
    <col min="12" max="12" width="16.5703125" customWidth="1"/>
  </cols>
  <sheetData>
    <row r="3" spans="1:12" ht="15.75" thickBot="1" x14ac:dyDescent="0.3">
      <c r="C3" s="2" t="s">
        <v>53</v>
      </c>
      <c r="D3" s="20" t="s">
        <v>51</v>
      </c>
      <c r="E3" s="20" t="s">
        <v>52</v>
      </c>
      <c r="F3" s="20" t="s">
        <v>55</v>
      </c>
      <c r="G3" s="20" t="s">
        <v>54</v>
      </c>
      <c r="H3" s="20" t="s">
        <v>51</v>
      </c>
      <c r="I3" s="20" t="s">
        <v>52</v>
      </c>
      <c r="J3" s="20" t="s">
        <v>55</v>
      </c>
      <c r="L3" s="24" t="s">
        <v>56</v>
      </c>
    </row>
    <row r="4" spans="1:12" x14ac:dyDescent="0.25">
      <c r="A4">
        <v>0.1</v>
      </c>
      <c r="B4">
        <f>A4*100</f>
        <v>10</v>
      </c>
      <c r="C4" s="22" t="s">
        <v>35</v>
      </c>
      <c r="D4" s="23">
        <v>132175.20503234852</v>
      </c>
      <c r="E4" s="23">
        <v>217909.51070404</v>
      </c>
      <c r="F4" s="23">
        <f>D4+E4</f>
        <v>350084.71573638852</v>
      </c>
      <c r="G4" s="21" t="s">
        <v>47</v>
      </c>
      <c r="H4" s="23">
        <v>31493.743545532168</v>
      </c>
      <c r="I4" s="23">
        <v>45868.176559448169</v>
      </c>
      <c r="J4" s="23">
        <f>H4+I4</f>
        <v>77361.920104980338</v>
      </c>
      <c r="L4" s="23">
        <f>F4-J4</f>
        <v>272722.79563140817</v>
      </c>
    </row>
    <row r="5" spans="1:12" x14ac:dyDescent="0.25">
      <c r="A5">
        <v>0.02</v>
      </c>
      <c r="B5">
        <f t="shared" ref="B5:B7" si="0">A5*100</f>
        <v>2</v>
      </c>
      <c r="C5" s="22" t="s">
        <v>36</v>
      </c>
      <c r="D5" s="23">
        <v>938488.90028345434</v>
      </c>
      <c r="E5" s="23">
        <v>835690.76334759465</v>
      </c>
      <c r="F5" s="23">
        <f t="shared" ref="F5:F7" si="1">D5+E5</f>
        <v>1774179.663631049</v>
      </c>
      <c r="G5" s="22" t="s">
        <v>48</v>
      </c>
      <c r="H5" s="23">
        <v>191816.93378448469</v>
      </c>
      <c r="I5" s="23">
        <v>336298.16371154657</v>
      </c>
      <c r="J5" s="23">
        <f t="shared" ref="J5:J7" si="2">H5+I5</f>
        <v>528115.09749603132</v>
      </c>
      <c r="L5" s="23">
        <f t="shared" ref="L5:L7" si="3">F5-J5</f>
        <v>1246064.5661350177</v>
      </c>
    </row>
    <row r="6" spans="1:12" x14ac:dyDescent="0.25">
      <c r="A6">
        <v>0.01</v>
      </c>
      <c r="B6">
        <f t="shared" si="0"/>
        <v>1</v>
      </c>
      <c r="C6" s="22" t="s">
        <v>38</v>
      </c>
      <c r="D6" s="23">
        <v>1670820.0335397688</v>
      </c>
      <c r="E6" s="23">
        <v>1501136.6487841583</v>
      </c>
      <c r="F6" s="23">
        <f t="shared" si="1"/>
        <v>3171956.6823239271</v>
      </c>
      <c r="G6" s="22" t="s">
        <v>49</v>
      </c>
      <c r="H6" s="23">
        <v>604313.97828686109</v>
      </c>
      <c r="I6" s="23">
        <v>621986.8996010999</v>
      </c>
      <c r="J6" s="23">
        <f t="shared" si="2"/>
        <v>1226300.877887961</v>
      </c>
      <c r="L6" s="23">
        <f t="shared" si="3"/>
        <v>1945655.8044359661</v>
      </c>
    </row>
    <row r="7" spans="1:12" x14ac:dyDescent="0.25">
      <c r="A7">
        <v>2E-3</v>
      </c>
      <c r="B7">
        <f t="shared" si="0"/>
        <v>0.2</v>
      </c>
      <c r="C7" s="22" t="s">
        <v>37</v>
      </c>
      <c r="D7" s="23">
        <v>5287985.6243591253</v>
      </c>
      <c r="E7" s="23">
        <v>4164313.8611869733</v>
      </c>
      <c r="F7" s="23">
        <f t="shared" si="1"/>
        <v>9452299.485546099</v>
      </c>
      <c r="G7" s="22" t="s">
        <v>50</v>
      </c>
      <c r="H7" s="23">
        <v>2032965.6122581931</v>
      </c>
      <c r="I7" s="23">
        <v>1821966.4655684798</v>
      </c>
      <c r="J7" s="23">
        <f t="shared" si="2"/>
        <v>3854932.0778266732</v>
      </c>
      <c r="L7" s="23">
        <f t="shared" si="3"/>
        <v>5597367.4077194259</v>
      </c>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E8BE8D-99F6-4842-95E5-D68F37D28DC4}">
  <sheetPr>
    <tabColor theme="0"/>
  </sheetPr>
  <dimension ref="A2:K17"/>
  <sheetViews>
    <sheetView zoomScale="85" zoomScaleNormal="85" workbookViewId="0">
      <selection activeCell="B10" sqref="B10"/>
    </sheetView>
  </sheetViews>
  <sheetFormatPr defaultRowHeight="15" x14ac:dyDescent="0.25"/>
  <cols>
    <col min="1" max="1" width="28.5703125" customWidth="1"/>
    <col min="2" max="2" width="11.85546875" customWidth="1"/>
    <col min="3" max="3" width="29.85546875" customWidth="1"/>
    <col min="4" max="4" width="28.28515625" customWidth="1"/>
    <col min="7" max="7" width="23" customWidth="1"/>
    <col min="8" max="8" width="12.85546875" customWidth="1"/>
    <col min="9" max="9" width="29.5703125" customWidth="1"/>
    <col min="10" max="10" width="23" customWidth="1"/>
  </cols>
  <sheetData>
    <row r="2" spans="1:11" x14ac:dyDescent="0.25">
      <c r="A2" s="207" t="s">
        <v>92</v>
      </c>
      <c r="B2" s="207"/>
      <c r="C2" s="207"/>
      <c r="D2" s="207"/>
      <c r="G2" s="208" t="s">
        <v>93</v>
      </c>
      <c r="H2" s="208"/>
      <c r="I2" s="208"/>
      <c r="J2" s="208"/>
    </row>
    <row r="3" spans="1:11" ht="33.75" customHeight="1" x14ac:dyDescent="0.25">
      <c r="A3" s="116" t="s">
        <v>91</v>
      </c>
      <c r="B3" s="117" t="s">
        <v>86</v>
      </c>
      <c r="C3" s="117" t="s">
        <v>104</v>
      </c>
      <c r="D3" s="117" t="s">
        <v>90</v>
      </c>
      <c r="G3" s="116" t="s">
        <v>91</v>
      </c>
      <c r="H3" s="117" t="s">
        <v>86</v>
      </c>
      <c r="I3" s="117" t="s">
        <v>104</v>
      </c>
      <c r="J3" s="117" t="s">
        <v>90</v>
      </c>
    </row>
    <row r="4" spans="1:11" ht="13.5" customHeight="1" x14ac:dyDescent="0.25">
      <c r="A4" s="3" t="s">
        <v>112</v>
      </c>
      <c r="B4" s="17">
        <f>3321.99*0.05</f>
        <v>166.09950000000001</v>
      </c>
      <c r="C4" s="114">
        <f>'CarrolCreek_Load Source'!K21</f>
        <v>12313.597863464325</v>
      </c>
      <c r="D4" s="115">
        <f>C4/B4</f>
        <v>74.1338647224364</v>
      </c>
      <c r="G4" s="3" t="s">
        <v>112</v>
      </c>
      <c r="H4" s="17">
        <f>4209.462265*0.05</f>
        <v>210.47311325000001</v>
      </c>
      <c r="I4" s="114">
        <f>'Chesterfield_Load Source'!K21</f>
        <v>4473.3058508834729</v>
      </c>
      <c r="J4" s="115">
        <f>I4/H4</f>
        <v>21.253573826173604</v>
      </c>
    </row>
    <row r="5" spans="1:11" x14ac:dyDescent="0.25">
      <c r="A5" s="3" t="s">
        <v>85</v>
      </c>
      <c r="B5" s="17">
        <f>3321.99*0.25</f>
        <v>830.49749999999995</v>
      </c>
      <c r="C5" s="114">
        <f>'CarrolCreek_Load Source'!K28</f>
        <v>59913.344443664449</v>
      </c>
      <c r="D5" s="115">
        <f>C5/B5</f>
        <v>72.141510893969524</v>
      </c>
      <c r="G5" s="3" t="s">
        <v>85</v>
      </c>
      <c r="H5" s="17">
        <f>4209.462265*0.25</f>
        <v>1052.36556625</v>
      </c>
      <c r="I5" s="114">
        <f>'Chesterfield_Load Source'!K28</f>
        <v>10039.903026489221</v>
      </c>
      <c r="J5" s="115">
        <f>I5/H5</f>
        <v>9.5403188288128966</v>
      </c>
    </row>
    <row r="6" spans="1:11" x14ac:dyDescent="0.25">
      <c r="A6" s="3" t="s">
        <v>87</v>
      </c>
      <c r="B6" s="17">
        <f>3321.99*0.5</f>
        <v>1660.9949999999999</v>
      </c>
      <c r="C6" s="114">
        <f>'CarrolCreek_Load Source'!K35</f>
        <v>108159.89599600201</v>
      </c>
      <c r="D6" s="115">
        <f t="shared" ref="D6:D9" si="0">C6/B6</f>
        <v>65.117532560905971</v>
      </c>
      <c r="G6" s="3" t="s">
        <v>87</v>
      </c>
      <c r="H6" s="17">
        <f>4209.462265*0.5</f>
        <v>2104.7311325000001</v>
      </c>
      <c r="I6" s="114">
        <f>'Chesterfield_Load Source'!K35</f>
        <v>15989.466864181479</v>
      </c>
      <c r="J6" s="115">
        <f t="shared" ref="J6:J8" si="1">I6/H6</f>
        <v>7.5969165929470464</v>
      </c>
    </row>
    <row r="7" spans="1:11" x14ac:dyDescent="0.25">
      <c r="A7" s="3" t="s">
        <v>88</v>
      </c>
      <c r="B7" s="17">
        <f>3321.99*0.75</f>
        <v>2491.4924999999998</v>
      </c>
      <c r="C7" s="114">
        <f>'CarrolCreek_Load Source'!K42</f>
        <v>136465.92906285074</v>
      </c>
      <c r="D7" s="115">
        <f t="shared" si="0"/>
        <v>54.772763338782177</v>
      </c>
      <c r="G7" s="3" t="s">
        <v>88</v>
      </c>
      <c r="H7" s="17">
        <f>4209.462265*0.75</f>
        <v>3157.0966987500001</v>
      </c>
      <c r="I7" s="114">
        <f>'Chesterfield_Load Source'!K42</f>
        <v>20984.163172676032</v>
      </c>
      <c r="J7" s="115">
        <f t="shared" si="1"/>
        <v>6.6466646970250745</v>
      </c>
    </row>
    <row r="8" spans="1:11" x14ac:dyDescent="0.25">
      <c r="A8" s="3" t="s">
        <v>89</v>
      </c>
      <c r="B8" s="17">
        <f>3321.99*1</f>
        <v>3321.99</v>
      </c>
      <c r="C8" s="114">
        <f>'CarrolCreek_Load Source'!K49</f>
        <v>165227.29353199745</v>
      </c>
      <c r="D8" s="115">
        <f t="shared" si="0"/>
        <v>49.737444583516947</v>
      </c>
      <c r="G8" s="3" t="s">
        <v>89</v>
      </c>
      <c r="H8" s="17">
        <f>4209.462265*1</f>
        <v>4209.4622650000001</v>
      </c>
      <c r="I8" s="114">
        <f>'Chesterfield_Load Source'!K49</f>
        <v>24595.103634132342</v>
      </c>
      <c r="J8" s="115">
        <f t="shared" si="1"/>
        <v>5.8428136625979095</v>
      </c>
    </row>
    <row r="9" spans="1:11" x14ac:dyDescent="0.25">
      <c r="A9" s="120" t="s">
        <v>115</v>
      </c>
      <c r="B9" s="121">
        <v>552.4</v>
      </c>
      <c r="C9" s="118">
        <f>'CarrolCreek_Load Source'!K57</f>
        <v>19964.056103942858</v>
      </c>
      <c r="D9" s="119">
        <f t="shared" si="0"/>
        <v>36.140579478535223</v>
      </c>
      <c r="G9" s="120" t="s">
        <v>115</v>
      </c>
      <c r="H9" s="142">
        <f>774.667607073*1</f>
        <v>774.667607073</v>
      </c>
      <c r="I9" s="167">
        <f>'Chesterfield_Load Source'!K57</f>
        <v>5528.6952381896772</v>
      </c>
      <c r="J9" s="168">
        <f>I9/H9</f>
        <v>7.1368612650260026</v>
      </c>
      <c r="K9" s="130"/>
    </row>
    <row r="12" spans="1:11" x14ac:dyDescent="0.25">
      <c r="A12" s="207" t="s">
        <v>110</v>
      </c>
      <c r="B12" s="207"/>
      <c r="C12" s="207"/>
      <c r="D12" s="207"/>
      <c r="G12" s="208" t="s">
        <v>111</v>
      </c>
      <c r="H12" s="208"/>
      <c r="I12" s="208"/>
      <c r="J12" s="208"/>
    </row>
    <row r="13" spans="1:11" ht="45" x14ac:dyDescent="0.25">
      <c r="A13" s="116" t="s">
        <v>91</v>
      </c>
      <c r="B13" s="117" t="s">
        <v>98</v>
      </c>
      <c r="C13" s="117" t="s">
        <v>104</v>
      </c>
      <c r="D13" s="117" t="s">
        <v>90</v>
      </c>
      <c r="G13" s="116" t="s">
        <v>91</v>
      </c>
      <c r="H13" s="117" t="s">
        <v>98</v>
      </c>
      <c r="I13" s="117" t="s">
        <v>104</v>
      </c>
      <c r="J13" s="117" t="s">
        <v>90</v>
      </c>
    </row>
    <row r="14" spans="1:11" x14ac:dyDescent="0.25">
      <c r="A14" s="3" t="s">
        <v>94</v>
      </c>
      <c r="B14" s="17">
        <f>3321.99*0.25</f>
        <v>830.49749999999995</v>
      </c>
      <c r="C14" s="114">
        <f>CarrolCreek_Retention!K21</f>
        <v>-0.19467828347114846</v>
      </c>
      <c r="D14" s="115">
        <f>C14/B14</f>
        <v>-2.344116429864611E-4</v>
      </c>
      <c r="G14" s="3" t="s">
        <v>94</v>
      </c>
      <c r="H14" s="17">
        <f>4209.462265*0.25</f>
        <v>1052.36556625</v>
      </c>
      <c r="I14" s="114">
        <f>Chesterfield_Retention!K21</f>
        <v>0</v>
      </c>
      <c r="J14" s="115">
        <f>I14/H14</f>
        <v>0</v>
      </c>
    </row>
    <row r="15" spans="1:11" x14ac:dyDescent="0.25">
      <c r="A15" s="3" t="s">
        <v>95</v>
      </c>
      <c r="B15" s="17">
        <f>3321.99*0.5</f>
        <v>1660.9949999999999</v>
      </c>
      <c r="C15" s="114">
        <f>CarrolCreek_Retention!K28</f>
        <v>5746.5078132478229</v>
      </c>
      <c r="D15" s="115">
        <f t="shared" ref="D15:D17" si="2">C15/B15</f>
        <v>3.4596779720877087</v>
      </c>
      <c r="G15" s="3" t="s">
        <v>95</v>
      </c>
      <c r="H15" s="17">
        <f>4209.462265*0.5</f>
        <v>2104.7311325000001</v>
      </c>
      <c r="I15" s="114">
        <f>Chesterfield_Retention!K28</f>
        <v>3033.2163975677322</v>
      </c>
      <c r="J15" s="115">
        <f t="shared" ref="J15:J17" si="3">I15/H15</f>
        <v>1.4411419828075034</v>
      </c>
    </row>
    <row r="16" spans="1:11" x14ac:dyDescent="0.25">
      <c r="A16" s="3" t="s">
        <v>96</v>
      </c>
      <c r="B16" s="17">
        <f>3321.99*0.75</f>
        <v>2491.4924999999998</v>
      </c>
      <c r="C16" s="114">
        <f>CarrolCreek_Retention!K35</f>
        <v>66606.699994491588</v>
      </c>
      <c r="D16" s="115">
        <f t="shared" si="2"/>
        <v>26.733654624483755</v>
      </c>
      <c r="G16" s="3" t="s">
        <v>96</v>
      </c>
      <c r="H16" s="17">
        <f>4209.462265*0.75</f>
        <v>3157.0966987500001</v>
      </c>
      <c r="I16" s="114">
        <f>Chesterfield_Retention!K35</f>
        <v>21805.44014633173</v>
      </c>
      <c r="J16" s="115">
        <f t="shared" si="3"/>
        <v>6.9068014783852618</v>
      </c>
    </row>
    <row r="17" spans="1:10" x14ac:dyDescent="0.25">
      <c r="A17" s="3" t="s">
        <v>97</v>
      </c>
      <c r="B17" s="17">
        <f>3321.99*1</f>
        <v>3321.99</v>
      </c>
      <c r="C17" s="114">
        <f>CarrolCreek_Retention!K42</f>
        <v>110973.46507966606</v>
      </c>
      <c r="D17" s="115">
        <f t="shared" si="2"/>
        <v>33.405719186290767</v>
      </c>
      <c r="G17" s="3" t="s">
        <v>97</v>
      </c>
      <c r="H17" s="17">
        <f>4209.462265*1</f>
        <v>4209.4622650000001</v>
      </c>
      <c r="I17" s="114">
        <f>Chesterfield_Retention!K42</f>
        <v>32310.818108413623</v>
      </c>
      <c r="J17" s="115">
        <f t="shared" si="3"/>
        <v>7.6757590576509473</v>
      </c>
    </row>
  </sheetData>
  <mergeCells count="4">
    <mergeCell ref="A2:D2"/>
    <mergeCell ref="A12:D12"/>
    <mergeCell ref="G2:J2"/>
    <mergeCell ref="G12:J12"/>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F8EF0F-3550-4C99-974D-B8204C4B6FD5}">
  <sheetPr>
    <tabColor rgb="FFFFFF00"/>
  </sheetPr>
  <dimension ref="A1:AA67"/>
  <sheetViews>
    <sheetView tabSelected="1" topLeftCell="B1" zoomScale="70" zoomScaleNormal="70" workbookViewId="0">
      <pane ySplit="8" topLeftCell="A33" activePane="bottomLeft" state="frozen"/>
      <selection pane="bottomLeft" activeCell="AC59" sqref="AC59"/>
    </sheetView>
  </sheetViews>
  <sheetFormatPr defaultRowHeight="15" x14ac:dyDescent="0.25"/>
  <cols>
    <col min="1" max="1" width="7.7109375" style="11" customWidth="1"/>
    <col min="2" max="3" width="7.7109375" customWidth="1"/>
    <col min="4" max="4" width="14.85546875" customWidth="1"/>
    <col min="5" max="6" width="14.7109375" customWidth="1"/>
    <col min="7" max="7" width="11.7109375" customWidth="1"/>
    <col min="8" max="8" width="17" customWidth="1"/>
    <col min="9" max="9" width="9.85546875" customWidth="1"/>
    <col min="10" max="10" width="16.7109375" style="42" customWidth="1"/>
    <col min="11" max="11" width="16.42578125" customWidth="1"/>
    <col min="12" max="12" width="23.5703125" style="110" customWidth="1"/>
    <col min="13" max="14" width="23.5703125" customWidth="1"/>
    <col min="15" max="15" width="12.28515625" customWidth="1"/>
    <col min="17" max="17" width="16.5703125" customWidth="1"/>
  </cols>
  <sheetData>
    <row r="1" spans="1:14" ht="57" customHeight="1" x14ac:dyDescent="0.25">
      <c r="A1" s="215" t="s">
        <v>107</v>
      </c>
      <c r="B1" s="215"/>
      <c r="C1" s="215"/>
      <c r="D1" s="215"/>
      <c r="E1" s="215"/>
      <c r="F1" s="215"/>
      <c r="G1" s="215"/>
      <c r="H1" s="215"/>
    </row>
    <row r="2" spans="1:14" x14ac:dyDescent="0.25">
      <c r="A2" s="214" t="s">
        <v>99</v>
      </c>
      <c r="B2" s="214"/>
      <c r="C2" s="214"/>
      <c r="D2" s="214"/>
      <c r="E2" s="214"/>
      <c r="F2" s="214"/>
      <c r="G2" s="214"/>
      <c r="H2" s="214"/>
    </row>
    <row r="3" spans="1:14" x14ac:dyDescent="0.25">
      <c r="A3" s="214" t="s">
        <v>129</v>
      </c>
      <c r="B3" s="214"/>
      <c r="C3" s="214"/>
      <c r="D3" s="214"/>
      <c r="E3" s="214"/>
      <c r="F3" s="214"/>
      <c r="G3" s="214"/>
      <c r="H3" s="214"/>
    </row>
    <row r="4" spans="1:14" x14ac:dyDescent="0.25">
      <c r="A4" s="214" t="s">
        <v>130</v>
      </c>
      <c r="B4" s="214"/>
      <c r="C4" s="214"/>
      <c r="D4" s="214"/>
      <c r="E4" s="214"/>
      <c r="F4" s="214"/>
      <c r="G4" s="214"/>
      <c r="H4" s="214"/>
    </row>
    <row r="5" spans="1:14" x14ac:dyDescent="0.25">
      <c r="A5" s="214" t="s">
        <v>131</v>
      </c>
      <c r="B5" s="214"/>
      <c r="C5" s="214"/>
      <c r="D5" s="214"/>
      <c r="E5" s="214"/>
      <c r="F5" s="214"/>
      <c r="G5" s="214"/>
      <c r="H5" s="214"/>
    </row>
    <row r="6" spans="1:14" ht="21.75" customHeight="1" x14ac:dyDescent="0.25">
      <c r="A6" s="58"/>
      <c r="B6" s="37"/>
      <c r="C6" s="37"/>
      <c r="D6" s="37"/>
      <c r="E6" s="37"/>
      <c r="F6" s="37"/>
      <c r="G6" s="37"/>
      <c r="H6" s="37"/>
      <c r="I6" s="212" t="s">
        <v>84</v>
      </c>
      <c r="J6" s="212"/>
      <c r="K6" s="212" t="s">
        <v>79</v>
      </c>
      <c r="L6" s="220" t="s">
        <v>80</v>
      </c>
      <c r="M6" s="219" t="s">
        <v>82</v>
      </c>
      <c r="N6" s="112">
        <v>3321.99</v>
      </c>
    </row>
    <row r="7" spans="1:14" ht="15" customHeight="1" x14ac:dyDescent="0.25">
      <c r="A7" s="212" t="s">
        <v>78</v>
      </c>
      <c r="B7" s="37"/>
      <c r="C7" s="37"/>
      <c r="D7" s="37"/>
      <c r="E7" s="37"/>
      <c r="F7" s="37"/>
      <c r="G7" s="37"/>
      <c r="H7" s="37"/>
      <c r="I7" s="212"/>
      <c r="J7" s="212"/>
      <c r="K7" s="212"/>
      <c r="L7" s="220"/>
      <c r="M7" s="219"/>
      <c r="N7" s="112"/>
    </row>
    <row r="8" spans="1:14" ht="15.75" thickBot="1" x14ac:dyDescent="0.3">
      <c r="A8" s="213"/>
      <c r="B8" s="59"/>
      <c r="C8" s="60" t="s">
        <v>53</v>
      </c>
      <c r="D8" s="20" t="s">
        <v>51</v>
      </c>
      <c r="E8" s="20" t="s">
        <v>52</v>
      </c>
      <c r="F8" s="20" t="s">
        <v>55</v>
      </c>
      <c r="G8" s="59"/>
      <c r="H8" s="96"/>
      <c r="I8" s="213"/>
      <c r="J8" s="213"/>
      <c r="K8" s="213"/>
      <c r="L8" s="221"/>
      <c r="M8" s="219"/>
      <c r="N8" s="112"/>
    </row>
    <row r="9" spans="1:14" x14ac:dyDescent="0.25">
      <c r="A9" s="71">
        <v>1</v>
      </c>
      <c r="B9" s="66"/>
      <c r="C9" s="72"/>
      <c r="D9" s="73"/>
      <c r="E9" s="73"/>
      <c r="F9" s="74">
        <v>0</v>
      </c>
      <c r="G9" s="66"/>
      <c r="H9" s="66"/>
      <c r="I9" s="101">
        <v>0</v>
      </c>
      <c r="J9" s="75"/>
      <c r="K9" s="75"/>
      <c r="L9" s="103"/>
      <c r="M9" s="113"/>
      <c r="N9" s="113"/>
    </row>
    <row r="10" spans="1:14" x14ac:dyDescent="0.25">
      <c r="A10" s="67">
        <v>0.1</v>
      </c>
      <c r="B10" s="37"/>
      <c r="C10" s="38" t="s">
        <v>35</v>
      </c>
      <c r="D10" s="47">
        <v>153264.60839843738</v>
      </c>
      <c r="E10" s="47">
        <v>252480.89794921869</v>
      </c>
      <c r="F10" s="62">
        <f>D10+E10</f>
        <v>405745.50634765608</v>
      </c>
      <c r="G10" s="48">
        <f>F10*A10</f>
        <v>40574.550634765612</v>
      </c>
      <c r="H10" s="48"/>
      <c r="I10" s="49">
        <f>+F11*(A10-A11) -( 0.5*(F11-F10)*(A10-A11))</f>
        <v>114071.03379821757</v>
      </c>
      <c r="J10" s="50"/>
      <c r="K10" s="49"/>
      <c r="L10" s="104"/>
      <c r="M10" s="65"/>
      <c r="N10" s="65"/>
    </row>
    <row r="11" spans="1:14" x14ac:dyDescent="0.25">
      <c r="A11" s="67">
        <v>0.02</v>
      </c>
      <c r="B11" s="37"/>
      <c r="C11" s="38" t="s">
        <v>36</v>
      </c>
      <c r="D11" s="47">
        <v>1365624.0228271466</v>
      </c>
      <c r="E11" s="47">
        <v>1080406.3157806371</v>
      </c>
      <c r="F11" s="62">
        <f t="shared" ref="F11:F13" si="0">D11+E11</f>
        <v>2446030.3386077834</v>
      </c>
      <c r="G11" s="48">
        <f t="shared" ref="G11:G13" si="1">F11*A11</f>
        <v>48920.606772155668</v>
      </c>
      <c r="H11" s="48"/>
      <c r="I11" s="49">
        <f>+F12*(A11-A12) -( 0.5*(F12-F11)*(A11-A12))</f>
        <v>32635.753456954906</v>
      </c>
      <c r="J11" s="50"/>
      <c r="K11" s="49"/>
      <c r="L11" s="104"/>
      <c r="M11" s="65"/>
      <c r="N11" s="65"/>
    </row>
    <row r="12" spans="1:14" x14ac:dyDescent="0.25">
      <c r="A12" s="67">
        <v>0.01</v>
      </c>
      <c r="B12" s="37"/>
      <c r="C12" s="38" t="s">
        <v>38</v>
      </c>
      <c r="D12" s="47">
        <v>2287947.2920532208</v>
      </c>
      <c r="E12" s="47">
        <v>1793173.0607299763</v>
      </c>
      <c r="F12" s="62">
        <f t="shared" si="0"/>
        <v>4081120.3527831971</v>
      </c>
      <c r="G12" s="48">
        <f t="shared" si="1"/>
        <v>40811.203527831974</v>
      </c>
      <c r="H12" s="48"/>
      <c r="I12" s="49">
        <f>+F13*(A12-A13) -( 0.5*(F13-F12)*(A12-A13))</f>
        <v>75336.952726013114</v>
      </c>
      <c r="J12" s="50"/>
      <c r="K12" s="49"/>
      <c r="L12" s="104"/>
      <c r="M12" s="65"/>
      <c r="N12" s="65"/>
    </row>
    <row r="13" spans="1:14" x14ac:dyDescent="0.25">
      <c r="A13" s="67">
        <v>2E-3</v>
      </c>
      <c r="B13" s="37"/>
      <c r="C13" s="38" t="s">
        <v>37</v>
      </c>
      <c r="D13" s="47">
        <v>8601717.7761535607</v>
      </c>
      <c r="E13" s="47">
        <v>6151400.0525665209</v>
      </c>
      <c r="F13" s="62">
        <f t="shared" si="0"/>
        <v>14753117.828720082</v>
      </c>
      <c r="G13" s="48">
        <f t="shared" si="1"/>
        <v>29506.235657440164</v>
      </c>
      <c r="H13" s="48"/>
      <c r="I13" s="124">
        <f>A13*F13</f>
        <v>29506.235657440164</v>
      </c>
      <c r="J13" s="51"/>
      <c r="K13" s="48"/>
      <c r="L13" s="105"/>
      <c r="M13" s="97"/>
      <c r="N13" s="97"/>
    </row>
    <row r="14" spans="1:14" x14ac:dyDescent="0.25">
      <c r="A14" s="67"/>
      <c r="B14" s="37"/>
      <c r="C14" s="37"/>
      <c r="D14" s="48"/>
      <c r="E14" s="48"/>
      <c r="F14" s="63"/>
      <c r="G14" s="48"/>
      <c r="H14" s="48"/>
      <c r="I14" s="48"/>
      <c r="J14" s="51">
        <f>SUM(I9:I13)</f>
        <v>251549.97563862574</v>
      </c>
      <c r="K14" s="48"/>
      <c r="L14" s="105"/>
      <c r="M14" s="97"/>
      <c r="N14" s="97"/>
    </row>
    <row r="15" spans="1:14" ht="15.75" thickBot="1" x14ac:dyDescent="0.3">
      <c r="A15" s="68"/>
      <c r="B15" s="59"/>
      <c r="C15" s="59"/>
      <c r="D15" s="69"/>
      <c r="E15" s="69"/>
      <c r="F15" s="78"/>
      <c r="G15" s="69"/>
      <c r="H15" s="69"/>
      <c r="I15" s="69"/>
      <c r="J15" s="70"/>
      <c r="K15" s="69"/>
      <c r="L15" s="109"/>
      <c r="M15" s="97"/>
      <c r="N15" s="97"/>
    </row>
    <row r="16" spans="1:14" x14ac:dyDescent="0.25">
      <c r="A16" s="139">
        <v>1</v>
      </c>
      <c r="B16" s="37"/>
      <c r="C16" s="141" t="s">
        <v>119</v>
      </c>
      <c r="D16" s="140"/>
      <c r="E16" s="140"/>
      <c r="F16" s="62">
        <v>0</v>
      </c>
      <c r="G16" s="48"/>
      <c r="H16" s="96" t="s">
        <v>56</v>
      </c>
      <c r="I16" s="102">
        <v>0</v>
      </c>
      <c r="J16" s="51"/>
      <c r="K16" s="48"/>
      <c r="L16" s="105"/>
      <c r="M16" s="97"/>
      <c r="N16" s="97"/>
    </row>
    <row r="17" spans="1:17" x14ac:dyDescent="0.25">
      <c r="A17" s="67">
        <v>0.1</v>
      </c>
      <c r="B17" s="37"/>
      <c r="C17" s="38" t="s">
        <v>47</v>
      </c>
      <c r="D17" s="47">
        <v>146174.7602539061</v>
      </c>
      <c r="E17" s="47">
        <v>238407.18603515593</v>
      </c>
      <c r="F17" s="62">
        <f>D17+E17</f>
        <v>384581.94628906203</v>
      </c>
      <c r="G17" s="48"/>
      <c r="H17" s="47">
        <f>$F$10-F17</f>
        <v>21163.560058594041</v>
      </c>
      <c r="I17" s="49">
        <f>+F18*(A17-A18) -( 0.5*(F18-F17)*(A17-A18))</f>
        <v>108875.03798828108</v>
      </c>
      <c r="J17" s="50"/>
      <c r="K17" s="49">
        <f>+I$10-I17</f>
        <v>5195.9958099364885</v>
      </c>
      <c r="L17" s="104">
        <f>+K17/($N$6*B21)</f>
        <v>31.282428965388146</v>
      </c>
      <c r="M17" s="97"/>
      <c r="N17" s="97"/>
    </row>
    <row r="18" spans="1:17" x14ac:dyDescent="0.25">
      <c r="A18" s="67">
        <v>0.02</v>
      </c>
      <c r="B18" s="37"/>
      <c r="C18" s="22" t="s">
        <v>48</v>
      </c>
      <c r="D18" s="47">
        <v>1295504.5820617657</v>
      </c>
      <c r="E18" s="47">
        <v>1041789.4213561993</v>
      </c>
      <c r="F18" s="62">
        <f t="shared" ref="F18:F20" si="2">D18+E18</f>
        <v>2337294.003417965</v>
      </c>
      <c r="G18" s="48"/>
      <c r="H18" s="47">
        <f>$F$11-F18</f>
        <v>108736.3351898184</v>
      </c>
      <c r="I18" s="49">
        <f>+F19*(A18-A19) -( 0.5*(F19-F18)*(A18-A19))</f>
        <v>31206.091650924631</v>
      </c>
      <c r="J18" s="50"/>
      <c r="K18" s="49">
        <f>+I$11-I18</f>
        <v>1429.6618060302753</v>
      </c>
      <c r="L18" s="104">
        <f>+K18/($N$6*B21)</f>
        <v>8.6072613465439414</v>
      </c>
      <c r="M18" s="97"/>
      <c r="N18" s="97"/>
    </row>
    <row r="19" spans="1:17" x14ac:dyDescent="0.25">
      <c r="A19" s="67">
        <v>0.01</v>
      </c>
      <c r="B19" s="37"/>
      <c r="C19" s="22" t="s">
        <v>49</v>
      </c>
      <c r="D19" s="47">
        <v>2198583.423156736</v>
      </c>
      <c r="E19" s="47">
        <v>1705340.9036102255</v>
      </c>
      <c r="F19" s="62">
        <f t="shared" si="2"/>
        <v>3903924.3267669613</v>
      </c>
      <c r="G19" s="48"/>
      <c r="H19" s="47">
        <f>$F$12-F19</f>
        <v>177196.02601623582</v>
      </c>
      <c r="I19" s="49">
        <f>+F20*(A19-A20) -( 0.5*(F20-F19)*(A19-A20))</f>
        <v>71308.731192993087</v>
      </c>
      <c r="J19" s="50"/>
      <c r="K19" s="49">
        <f>+I$12-I19</f>
        <v>4028.221533020027</v>
      </c>
      <c r="L19" s="104">
        <f>+K19/($N$6*B21)</f>
        <v>24.251858271819163</v>
      </c>
      <c r="M19" s="97"/>
      <c r="N19" s="97"/>
    </row>
    <row r="20" spans="1:17" ht="15.75" thickBot="1" x14ac:dyDescent="0.3">
      <c r="A20" s="67">
        <v>2E-3</v>
      </c>
      <c r="B20" s="37"/>
      <c r="C20" s="22" t="s">
        <v>50</v>
      </c>
      <c r="D20" s="47">
        <v>8096559.4006042425</v>
      </c>
      <c r="E20" s="47">
        <v>5826699.070877064</v>
      </c>
      <c r="F20" s="62">
        <f t="shared" si="2"/>
        <v>13923258.471481306</v>
      </c>
      <c r="G20" s="48"/>
      <c r="H20" s="47">
        <f>$F$13-F20</f>
        <v>829859.35723877512</v>
      </c>
      <c r="I20" s="124">
        <f>A20*F20</f>
        <v>27846.516942962615</v>
      </c>
      <c r="J20" s="51"/>
      <c r="K20" s="48"/>
      <c r="L20" s="105"/>
      <c r="M20" s="97"/>
      <c r="N20" s="97"/>
    </row>
    <row r="21" spans="1:17" ht="15.75" thickBot="1" x14ac:dyDescent="0.3">
      <c r="A21" s="67"/>
      <c r="B21" s="37">
        <v>0.05</v>
      </c>
      <c r="C21" s="37"/>
      <c r="D21" s="48"/>
      <c r="E21" s="48"/>
      <c r="F21" s="63"/>
      <c r="G21" s="48"/>
      <c r="H21" s="48"/>
      <c r="I21" s="48"/>
      <c r="J21" s="51">
        <f>SUM(I16:I20)</f>
        <v>239236.37777516141</v>
      </c>
      <c r="K21" s="48">
        <f>+J$14-J21</f>
        <v>12313.597863464325</v>
      </c>
      <c r="L21" s="111">
        <f>+K21/($N$6*B21)</f>
        <v>74.1338647224364</v>
      </c>
      <c r="M21" s="97"/>
      <c r="N21" s="97"/>
    </row>
    <row r="22" spans="1:17" x14ac:dyDescent="0.25">
      <c r="A22" s="67"/>
      <c r="B22" s="37"/>
      <c r="C22" s="37"/>
      <c r="D22" s="48"/>
      <c r="E22" s="48"/>
      <c r="F22" s="63"/>
      <c r="G22" s="48"/>
      <c r="H22" s="48"/>
      <c r="I22" s="48"/>
      <c r="J22" s="51"/>
      <c r="K22" s="48"/>
      <c r="L22" s="105"/>
      <c r="M22" s="97"/>
      <c r="N22" s="97"/>
    </row>
    <row r="23" spans="1:17" x14ac:dyDescent="0.25">
      <c r="A23" s="77">
        <v>1</v>
      </c>
      <c r="B23" s="43"/>
      <c r="C23" s="45" t="s">
        <v>120</v>
      </c>
      <c r="D23" s="55"/>
      <c r="E23" s="55"/>
      <c r="F23" s="61">
        <v>0</v>
      </c>
      <c r="G23" s="46"/>
      <c r="H23" s="54" t="s">
        <v>56</v>
      </c>
      <c r="I23" s="102">
        <v>0</v>
      </c>
      <c r="J23" s="56"/>
      <c r="K23" s="55"/>
      <c r="L23" s="107"/>
      <c r="M23" s="98"/>
      <c r="N23" s="98"/>
      <c r="O23" s="38"/>
      <c r="P23" s="37"/>
      <c r="Q23" s="24"/>
    </row>
    <row r="24" spans="1:17" x14ac:dyDescent="0.25">
      <c r="A24" s="67">
        <v>0.1</v>
      </c>
      <c r="B24" s="37"/>
      <c r="C24" s="38" t="s">
        <v>47</v>
      </c>
      <c r="D24" s="47">
        <v>112289.33743286121</v>
      </c>
      <c r="E24" s="47">
        <v>179480.54296874988</v>
      </c>
      <c r="F24" s="62">
        <f>D24+E24</f>
        <v>291769.8804016111</v>
      </c>
      <c r="G24" s="48"/>
      <c r="H24" s="47">
        <f>$F$10-F24</f>
        <v>113975.62594604498</v>
      </c>
      <c r="I24" s="49">
        <f>+F25*(A24-A25) -( 0.5*(F25-F24)*(A24-A25))</f>
        <v>86913.369027709807</v>
      </c>
      <c r="J24" s="50"/>
      <c r="K24" s="49">
        <f>+I$10-I24</f>
        <v>27157.664770507763</v>
      </c>
      <c r="L24" s="104">
        <f>+K24/($N$6*B28)</f>
        <v>32.700477449369522</v>
      </c>
      <c r="M24" s="65"/>
      <c r="N24" s="65"/>
      <c r="O24" s="39"/>
      <c r="P24" s="37"/>
      <c r="Q24" s="39"/>
    </row>
    <row r="25" spans="1:17" x14ac:dyDescent="0.25">
      <c r="A25" s="67">
        <v>0.02</v>
      </c>
      <c r="B25" s="37"/>
      <c r="C25" s="22" t="s">
        <v>48</v>
      </c>
      <c r="D25" s="47">
        <v>1005606.9786987295</v>
      </c>
      <c r="E25" s="47">
        <v>875457.36659240478</v>
      </c>
      <c r="F25" s="62">
        <f t="shared" ref="F25:F27" si="3">D25+E25</f>
        <v>1881064.3452911344</v>
      </c>
      <c r="G25" s="48"/>
      <c r="H25" s="47">
        <f>$F$11-F25</f>
        <v>564965.99331664899</v>
      </c>
      <c r="I25" s="49">
        <f>+F26*(A25-A26) -( 0.5*(F26-F25)*(A25-A26))</f>
        <v>25253.378501052823</v>
      </c>
      <c r="J25" s="50"/>
      <c r="K25" s="49">
        <f>+I$11-I25</f>
        <v>7382.3749559020835</v>
      </c>
      <c r="L25" s="104">
        <f>+K25/($N$6*B28)</f>
        <v>8.8890995528608858</v>
      </c>
      <c r="M25" s="65"/>
      <c r="N25" s="65"/>
      <c r="O25" s="39"/>
      <c r="P25" s="37"/>
      <c r="Q25" s="39"/>
    </row>
    <row r="26" spans="1:17" x14ac:dyDescent="0.25">
      <c r="A26" s="67">
        <v>0.01</v>
      </c>
      <c r="B26" s="37"/>
      <c r="C26" s="22" t="s">
        <v>49</v>
      </c>
      <c r="D26" s="47">
        <v>1807638.6275634754</v>
      </c>
      <c r="E26" s="47">
        <v>1361972.7273559545</v>
      </c>
      <c r="F26" s="62">
        <f t="shared" si="3"/>
        <v>3169611.3549194299</v>
      </c>
      <c r="G26" s="48"/>
      <c r="H26" s="47">
        <f>$F$12-F26</f>
        <v>911508.9978637672</v>
      </c>
      <c r="I26" s="49">
        <f>+F27*(A26-A27) -( 0.5*(F27-F26)*(A26-A27))</f>
        <v>57206.070917358353</v>
      </c>
      <c r="J26" s="50"/>
      <c r="K26" s="49">
        <f>+I$12-I26</f>
        <v>18130.881808654762</v>
      </c>
      <c r="L26" s="104">
        <f>+K26/($N$6*B28)</f>
        <v>21.831350255304518</v>
      </c>
      <c r="M26" s="65"/>
      <c r="N26" s="65"/>
      <c r="O26" s="39"/>
      <c r="P26" s="37"/>
      <c r="Q26" s="39"/>
    </row>
    <row r="27" spans="1:17" ht="15.75" thickBot="1" x14ac:dyDescent="0.3">
      <c r="A27" s="67">
        <v>2E-3</v>
      </c>
      <c r="B27" s="37"/>
      <c r="C27" s="22" t="s">
        <v>50</v>
      </c>
      <c r="D27" s="47">
        <v>6365109.2320251409</v>
      </c>
      <c r="E27" s="47">
        <v>4766797.1423950158</v>
      </c>
      <c r="F27" s="62">
        <f t="shared" si="3"/>
        <v>11131906.374420157</v>
      </c>
      <c r="G27" s="48"/>
      <c r="H27" s="47">
        <f>$F$13-F27</f>
        <v>3621211.4542999249</v>
      </c>
      <c r="I27" s="124">
        <f>A27*F27</f>
        <v>22263.812748840315</v>
      </c>
      <c r="J27" s="51"/>
      <c r="K27" s="48"/>
      <c r="L27" s="105"/>
      <c r="M27" s="97"/>
      <c r="N27" s="97"/>
      <c r="O27" s="39"/>
      <c r="P27" s="37"/>
      <c r="Q27" s="39"/>
    </row>
    <row r="28" spans="1:17" ht="15.75" thickBot="1" x14ac:dyDescent="0.3">
      <c r="A28" s="67"/>
      <c r="B28" s="37">
        <v>0.25</v>
      </c>
      <c r="C28" s="38"/>
      <c r="D28" s="48"/>
      <c r="E28" s="48"/>
      <c r="F28" s="63"/>
      <c r="G28" s="48"/>
      <c r="H28" s="48"/>
      <c r="I28" s="48"/>
      <c r="J28" s="51">
        <f>SUM(I23:I27)</f>
        <v>191636.63119496129</v>
      </c>
      <c r="K28" s="48">
        <f>+J$14-J28</f>
        <v>59913.344443664449</v>
      </c>
      <c r="L28" s="111">
        <f>+K28/($N$6*B28)</f>
        <v>72.141510893969524</v>
      </c>
      <c r="M28" s="97"/>
      <c r="N28" s="97"/>
    </row>
    <row r="29" spans="1:17" x14ac:dyDescent="0.25">
      <c r="A29" s="76"/>
      <c r="B29" s="44"/>
      <c r="C29" s="12"/>
      <c r="D29" s="52"/>
      <c r="E29" s="52"/>
      <c r="F29" s="64"/>
      <c r="G29" s="52"/>
      <c r="H29" s="52"/>
      <c r="I29" s="52"/>
      <c r="J29" s="53"/>
      <c r="K29" s="52"/>
      <c r="L29" s="106"/>
      <c r="M29" s="97"/>
      <c r="N29" s="97"/>
    </row>
    <row r="30" spans="1:17" x14ac:dyDescent="0.25">
      <c r="A30" s="77">
        <v>1</v>
      </c>
      <c r="B30" s="43"/>
      <c r="C30" s="45" t="s">
        <v>121</v>
      </c>
      <c r="D30" s="55"/>
      <c r="E30" s="55"/>
      <c r="F30" s="61">
        <v>0</v>
      </c>
      <c r="G30" s="46"/>
      <c r="H30" s="54" t="s">
        <v>56</v>
      </c>
      <c r="I30" s="102">
        <v>0</v>
      </c>
      <c r="J30" s="57"/>
      <c r="K30" s="46"/>
      <c r="L30" s="108"/>
      <c r="M30" s="97"/>
      <c r="N30" s="97"/>
    </row>
    <row r="31" spans="1:17" x14ac:dyDescent="0.25">
      <c r="A31" s="67">
        <v>0.1</v>
      </c>
      <c r="B31" s="37"/>
      <c r="C31" s="38" t="s">
        <v>47</v>
      </c>
      <c r="D31" s="47">
        <v>79932.996612548668</v>
      </c>
      <c r="E31" s="47">
        <v>124024.70095825185</v>
      </c>
      <c r="F31" s="62">
        <f>D31+E31</f>
        <v>203957.69757080052</v>
      </c>
      <c r="G31" s="48"/>
      <c r="H31" s="47">
        <f>$F$10-F31</f>
        <v>201787.80877685556</v>
      </c>
      <c r="I31" s="49">
        <f t="shared" ref="I31:I32" si="4">+F32*(A31-A32) -( 0.5*(F32-F31)*(A31-A32))</f>
        <v>63440.69695007315</v>
      </c>
      <c r="J31" s="50"/>
      <c r="K31" s="49">
        <f>+I$10-I31</f>
        <v>50630.336848144419</v>
      </c>
      <c r="L31" s="104">
        <f>+K31/($N$6*B35)</f>
        <v>30.481932123904301</v>
      </c>
      <c r="M31" s="65"/>
      <c r="N31" s="65"/>
    </row>
    <row r="32" spans="1:17" x14ac:dyDescent="0.25">
      <c r="A32" s="67">
        <v>0.02</v>
      </c>
      <c r="B32" s="37"/>
      <c r="C32" s="22" t="s">
        <v>48</v>
      </c>
      <c r="D32" s="47">
        <v>680011.89276122942</v>
      </c>
      <c r="E32" s="47">
        <v>702047.83341979841</v>
      </c>
      <c r="F32" s="62">
        <f t="shared" ref="F32:F34" si="5">D32+E32</f>
        <v>1382059.7261810279</v>
      </c>
      <c r="G32" s="48"/>
      <c r="H32" s="47">
        <f>$F$11-F32</f>
        <v>1063970.6124267555</v>
      </c>
      <c r="I32" s="49">
        <f t="shared" si="4"/>
        <v>19630.941721420255</v>
      </c>
      <c r="J32" s="50"/>
      <c r="K32" s="49">
        <f>+I$11-I32</f>
        <v>13004.811735534651</v>
      </c>
      <c r="L32" s="104">
        <f>+K32/($N$6*B35)</f>
        <v>7.8295309350929125</v>
      </c>
      <c r="M32" s="65"/>
      <c r="N32" s="65"/>
    </row>
    <row r="33" spans="1:27" x14ac:dyDescent="0.25">
      <c r="A33" s="67">
        <v>0.01</v>
      </c>
      <c r="B33" s="37"/>
      <c r="C33" s="22" t="s">
        <v>49</v>
      </c>
      <c r="D33" s="47">
        <v>1427844.4786682115</v>
      </c>
      <c r="E33" s="47">
        <v>1116284.1394348117</v>
      </c>
      <c r="F33" s="62">
        <f t="shared" si="5"/>
        <v>2544128.6181030232</v>
      </c>
      <c r="G33" s="48"/>
      <c r="H33" s="47">
        <f>$F$12-F33</f>
        <v>1536991.7346801739</v>
      </c>
      <c r="I33" s="49">
        <f>+F34*(A33-A34) -( 0.5*(F34-F33)*(A33-A34))</f>
        <v>43604.465471557574</v>
      </c>
      <c r="J33" s="50"/>
      <c r="K33" s="49">
        <f>+I$12-I33</f>
        <v>31732.48725445554</v>
      </c>
      <c r="L33" s="104">
        <f>+K33/($N$6*B35)</f>
        <v>19.104504983130919</v>
      </c>
      <c r="M33" s="65"/>
      <c r="N33" s="65"/>
    </row>
    <row r="34" spans="1:27" ht="15.75" thickBot="1" x14ac:dyDescent="0.3">
      <c r="A34" s="67">
        <v>2E-3</v>
      </c>
      <c r="B34" s="37"/>
      <c r="C34" s="22" t="s">
        <v>50</v>
      </c>
      <c r="D34" s="47">
        <v>4708713.0993041955</v>
      </c>
      <c r="E34" s="47">
        <v>3648274.6504821749</v>
      </c>
      <c r="F34" s="62">
        <f t="shared" si="5"/>
        <v>8356987.7497863704</v>
      </c>
      <c r="G34" s="48"/>
      <c r="H34" s="47">
        <f>$F$13-F34</f>
        <v>6396130.0789337112</v>
      </c>
      <c r="I34" s="124">
        <f>A34*F34</f>
        <v>16713.975499572742</v>
      </c>
      <c r="J34" s="51"/>
      <c r="K34" s="48"/>
      <c r="L34" s="105"/>
      <c r="M34" s="97"/>
      <c r="N34" s="97"/>
    </row>
    <row r="35" spans="1:27" ht="15.75" thickBot="1" x14ac:dyDescent="0.3">
      <c r="A35" s="67"/>
      <c r="B35" s="37">
        <v>0.5</v>
      </c>
      <c r="C35" s="38"/>
      <c r="D35" s="48"/>
      <c r="E35" s="48"/>
      <c r="F35" s="63"/>
      <c r="G35" s="48"/>
      <c r="H35" s="48"/>
      <c r="I35" s="48"/>
      <c r="J35" s="51">
        <f>SUM(I30:I34)</f>
        <v>143390.07964262372</v>
      </c>
      <c r="K35" s="48">
        <f>+J$14-J35</f>
        <v>108159.89599600201</v>
      </c>
      <c r="L35" s="111">
        <f>+K35/($N$6*B35)</f>
        <v>65.117532560905971</v>
      </c>
      <c r="M35" s="97"/>
      <c r="N35" s="97"/>
    </row>
    <row r="36" spans="1:27" x14ac:dyDescent="0.25">
      <c r="A36" s="76"/>
      <c r="B36" s="44"/>
      <c r="C36" s="12"/>
      <c r="D36" s="52"/>
      <c r="E36" s="52"/>
      <c r="F36" s="64"/>
      <c r="G36" s="52"/>
      <c r="H36" s="52"/>
      <c r="I36" s="52"/>
      <c r="J36" s="53"/>
      <c r="K36" s="52"/>
      <c r="L36" s="106"/>
      <c r="M36" s="97"/>
      <c r="N36" s="97"/>
    </row>
    <row r="37" spans="1:27" x14ac:dyDescent="0.25">
      <c r="A37" s="77">
        <v>1</v>
      </c>
      <c r="B37" s="43"/>
      <c r="C37" s="45" t="s">
        <v>122</v>
      </c>
      <c r="D37" s="55"/>
      <c r="E37" s="55"/>
      <c r="F37" s="61">
        <v>0</v>
      </c>
      <c r="G37" s="46"/>
      <c r="H37" s="54" t="s">
        <v>56</v>
      </c>
      <c r="I37" s="102">
        <v>0</v>
      </c>
      <c r="J37" s="57"/>
      <c r="K37" s="46"/>
      <c r="L37" s="108"/>
      <c r="M37" s="97"/>
      <c r="N37" s="97"/>
    </row>
    <row r="38" spans="1:27" x14ac:dyDescent="0.25">
      <c r="A38" s="67">
        <v>0.1</v>
      </c>
      <c r="B38" s="37"/>
      <c r="C38" s="38" t="s">
        <v>47</v>
      </c>
      <c r="D38" s="47">
        <v>54220.428497314453</v>
      </c>
      <c r="E38" s="47">
        <v>79276.554229736299</v>
      </c>
      <c r="F38" s="62">
        <f>D38+E38</f>
        <v>133496.98272705075</v>
      </c>
      <c r="G38" s="48"/>
      <c r="H38" s="47">
        <f>$F$10-F38</f>
        <v>272248.52362060535</v>
      </c>
      <c r="I38" s="49">
        <f t="shared" ref="I38:I39" si="6">+F39*(A38-A39) -( 0.5*(F39-F38)*(A38-A39))</f>
        <v>49198.906341552662</v>
      </c>
      <c r="J38" s="50"/>
      <c r="K38" s="49">
        <f>+I$10-I38</f>
        <v>64872.127456664908</v>
      </c>
      <c r="L38" s="104">
        <f>+K38/($N$6*B42)</f>
        <v>26.037456446954952</v>
      </c>
      <c r="M38" s="65"/>
      <c r="N38" s="65"/>
    </row>
    <row r="39" spans="1:27" x14ac:dyDescent="0.25">
      <c r="A39" s="67">
        <v>0.02</v>
      </c>
      <c r="B39" s="37"/>
      <c r="C39" s="22" t="s">
        <v>48</v>
      </c>
      <c r="D39" s="47">
        <v>512471.94390869094</v>
      </c>
      <c r="E39" s="47">
        <v>584003.73190307477</v>
      </c>
      <c r="F39" s="62">
        <f t="shared" ref="F39:F41" si="7">D39+E39</f>
        <v>1096475.6758117657</v>
      </c>
      <c r="G39" s="48"/>
      <c r="H39" s="47">
        <f>$F$11-F39</f>
        <v>1349554.6627960177</v>
      </c>
      <c r="I39" s="49">
        <f t="shared" si="6"/>
        <v>16605.465971679656</v>
      </c>
      <c r="J39" s="50"/>
      <c r="K39" s="49">
        <f>+I$11-I39</f>
        <v>16030.28748527525</v>
      </c>
      <c r="L39" s="104">
        <f>+K39/($N$6*B42)</f>
        <v>6.4340099299015554</v>
      </c>
      <c r="M39" s="65"/>
      <c r="N39" s="65"/>
    </row>
    <row r="40" spans="1:27" x14ac:dyDescent="0.25">
      <c r="A40" s="67">
        <v>0.01</v>
      </c>
      <c r="B40" s="37"/>
      <c r="C40" s="22" t="s">
        <v>49</v>
      </c>
      <c r="D40" s="47">
        <v>1222707.7157897924</v>
      </c>
      <c r="E40" s="47">
        <v>1001909.8027343731</v>
      </c>
      <c r="F40" s="62">
        <f t="shared" si="7"/>
        <v>2224617.5185241653</v>
      </c>
      <c r="G40" s="48"/>
      <c r="H40" s="47">
        <f>$F$12-F40</f>
        <v>1856502.8342590318</v>
      </c>
      <c r="I40" s="49">
        <f>+F41*(A40-A41) -( 0.5*(F41-F40)*(A40-A41))</f>
        <v>35819.272866394007</v>
      </c>
      <c r="J40" s="50"/>
      <c r="K40" s="49">
        <f>+I$12-I40</f>
        <v>39517.679859619107</v>
      </c>
      <c r="L40" s="104">
        <f>+K40/($N$6*B42)</f>
        <v>15.861047087084994</v>
      </c>
      <c r="M40" s="65"/>
      <c r="N40" s="65"/>
    </row>
    <row r="41" spans="1:27" ht="15.75" thickBot="1" x14ac:dyDescent="0.3">
      <c r="A41" s="67">
        <v>2E-3</v>
      </c>
      <c r="B41" s="37"/>
      <c r="C41" s="22" t="s">
        <v>50</v>
      </c>
      <c r="D41" s="47">
        <v>3751096.5960082971</v>
      </c>
      <c r="E41" s="47">
        <v>2979104.1020660382</v>
      </c>
      <c r="F41" s="62">
        <f t="shared" si="7"/>
        <v>6730200.6980743352</v>
      </c>
      <c r="G41" s="48"/>
      <c r="H41" s="47">
        <f>$F$13-F41</f>
        <v>8022917.1306457464</v>
      </c>
      <c r="I41" s="124">
        <f>A41*F41</f>
        <v>13460.401396148671</v>
      </c>
      <c r="J41" s="51"/>
      <c r="K41" s="48"/>
      <c r="L41" s="105"/>
      <c r="M41" s="97"/>
      <c r="N41" s="97"/>
      <c r="AA41" s="166"/>
    </row>
    <row r="42" spans="1:27" ht="15.75" thickBot="1" x14ac:dyDescent="0.3">
      <c r="A42" s="67"/>
      <c r="B42" s="37">
        <v>0.75</v>
      </c>
      <c r="C42" s="38"/>
      <c r="D42" s="48"/>
      <c r="E42" s="48"/>
      <c r="F42" s="63"/>
      <c r="G42" s="48"/>
      <c r="H42" s="48"/>
      <c r="I42" s="48"/>
      <c r="J42" s="51">
        <f>SUM(I37:I41)</f>
        <v>115084.04657577499</v>
      </c>
      <c r="K42" s="48">
        <f>+J$14-J42</f>
        <v>136465.92906285074</v>
      </c>
      <c r="L42" s="111">
        <f>+K42/($N$6*B42)</f>
        <v>54.772763338782177</v>
      </c>
      <c r="M42" s="97"/>
      <c r="N42" s="97"/>
    </row>
    <row r="43" spans="1:27" x14ac:dyDescent="0.25">
      <c r="A43" s="76"/>
      <c r="B43" s="44"/>
      <c r="C43" s="12"/>
      <c r="D43" s="52"/>
      <c r="E43" s="52"/>
      <c r="F43" s="64"/>
      <c r="G43" s="52"/>
      <c r="H43" s="52"/>
      <c r="I43" s="52"/>
      <c r="J43" s="53"/>
      <c r="K43" s="52"/>
      <c r="L43" s="106"/>
      <c r="M43" s="97"/>
      <c r="N43" s="97"/>
    </row>
    <row r="44" spans="1:27" x14ac:dyDescent="0.25">
      <c r="A44" s="77">
        <v>1</v>
      </c>
      <c r="B44" s="43"/>
      <c r="C44" s="45" t="s">
        <v>123</v>
      </c>
      <c r="D44" s="55"/>
      <c r="E44" s="55"/>
      <c r="F44" s="61">
        <v>0</v>
      </c>
      <c r="G44" s="46"/>
      <c r="H44" s="54" t="s">
        <v>56</v>
      </c>
      <c r="I44" s="102">
        <v>0</v>
      </c>
      <c r="J44" s="57"/>
      <c r="K44" s="46"/>
      <c r="L44" s="108"/>
      <c r="M44" s="97"/>
      <c r="N44" s="97"/>
    </row>
    <row r="45" spans="1:27" x14ac:dyDescent="0.25">
      <c r="A45" s="67">
        <v>0.1</v>
      </c>
      <c r="B45" s="37"/>
      <c r="C45" s="38" t="s">
        <v>47</v>
      </c>
      <c r="D45" s="47">
        <v>36867.491180419922</v>
      </c>
      <c r="E45" s="47">
        <v>53455.832000732422</v>
      </c>
      <c r="F45" s="62">
        <f>D45+E45</f>
        <v>90323.323181152344</v>
      </c>
      <c r="G45" s="48"/>
      <c r="H45" s="47">
        <f>$F$10-F45</f>
        <v>315422.18316650373</v>
      </c>
      <c r="I45" s="49">
        <f t="shared" ref="I45:I46" si="8">+F46*(A45-A46) -( 0.5*(F46-F45)*(A45-A46))</f>
        <v>32892.328041992136</v>
      </c>
      <c r="J45" s="50"/>
      <c r="K45" s="49">
        <f>+I$10-I45</f>
        <v>81178.705756225434</v>
      </c>
      <c r="L45" s="104">
        <f>+K45/($N$6*B49)</f>
        <v>24.436770055366043</v>
      </c>
      <c r="M45" s="65"/>
      <c r="N45" s="65"/>
    </row>
    <row r="46" spans="1:27" x14ac:dyDescent="0.25">
      <c r="A46" s="67">
        <v>0.02</v>
      </c>
      <c r="B46" s="37"/>
      <c r="C46" s="22" t="s">
        <v>48</v>
      </c>
      <c r="D46" s="47">
        <v>302373.23654174793</v>
      </c>
      <c r="E46" s="47">
        <v>429611.64132690325</v>
      </c>
      <c r="F46" s="62">
        <f t="shared" ref="F46:F48" si="9">D46+E46</f>
        <v>731984.87786865118</v>
      </c>
      <c r="G46" s="48"/>
      <c r="H46" s="47">
        <f>$F$11-F46</f>
        <v>1714045.4607391322</v>
      </c>
      <c r="I46" s="49">
        <f t="shared" si="8"/>
        <v>13105.633220825166</v>
      </c>
      <c r="J46" s="50"/>
      <c r="K46" s="49">
        <f>+I$11-I46</f>
        <v>19530.12023612974</v>
      </c>
      <c r="L46" s="104">
        <f>+K46/($N$6*B49)</f>
        <v>5.8790424523041134</v>
      </c>
      <c r="M46" s="65"/>
      <c r="N46" s="65"/>
    </row>
    <row r="47" spans="1:27" x14ac:dyDescent="0.25">
      <c r="A47" s="67">
        <v>0.01</v>
      </c>
      <c r="B47" s="37"/>
      <c r="C47" s="22" t="s">
        <v>49</v>
      </c>
      <c r="D47" s="47">
        <v>1011353.4380187967</v>
      </c>
      <c r="E47" s="47">
        <v>877788.32827758568</v>
      </c>
      <c r="F47" s="62">
        <f t="shared" si="9"/>
        <v>1889141.7662963825</v>
      </c>
      <c r="G47" s="48"/>
      <c r="H47" s="47">
        <f>$F$12-F47</f>
        <v>2191978.5864868145</v>
      </c>
      <c r="I47" s="49">
        <f>+F48*(A47-A48) -( 0.5*(F48-F47)*(A47-A48))</f>
        <v>29402.002917602505</v>
      </c>
      <c r="J47" s="50"/>
      <c r="K47" s="49">
        <f>+I$12-I47</f>
        <v>45934.949808410609</v>
      </c>
      <c r="L47" s="104">
        <f>+K47/($N$6*B49)</f>
        <v>13.827540061351964</v>
      </c>
      <c r="M47" s="65"/>
      <c r="N47" s="65"/>
    </row>
    <row r="48" spans="1:27" ht="15.75" thickBot="1" x14ac:dyDescent="0.3">
      <c r="A48" s="67">
        <v>2E-3</v>
      </c>
      <c r="B48" s="37"/>
      <c r="C48" s="22" t="s">
        <v>50</v>
      </c>
      <c r="D48" s="47">
        <v>3050792.7292785626</v>
      </c>
      <c r="E48" s="47">
        <v>2410566.2338256813</v>
      </c>
      <c r="F48" s="62">
        <f t="shared" si="9"/>
        <v>5461358.9631042443</v>
      </c>
      <c r="G48" s="48"/>
      <c r="H48" s="47">
        <f>$F$13-F48</f>
        <v>9291758.8656158373</v>
      </c>
      <c r="I48" s="124">
        <f>A48*F48</f>
        <v>10922.717926208488</v>
      </c>
      <c r="J48" s="51"/>
      <c r="K48" s="48"/>
      <c r="L48" s="105"/>
      <c r="M48" s="97"/>
      <c r="N48" s="97"/>
    </row>
    <row r="49" spans="1:26" ht="15.75" thickBot="1" x14ac:dyDescent="0.3">
      <c r="A49" s="67"/>
      <c r="B49" s="37">
        <v>1</v>
      </c>
      <c r="C49" s="37"/>
      <c r="D49" s="48"/>
      <c r="E49" s="48"/>
      <c r="F49" s="63"/>
      <c r="G49" s="48"/>
      <c r="H49" s="48"/>
      <c r="I49" s="48"/>
      <c r="J49" s="51">
        <f>SUM(I44:I48)</f>
        <v>86322.682106628286</v>
      </c>
      <c r="K49" s="48">
        <f>+J$14-J49</f>
        <v>165227.29353199745</v>
      </c>
      <c r="L49" s="111">
        <f>+K49/($N$6*B49)</f>
        <v>49.737444583516947</v>
      </c>
      <c r="M49" s="97"/>
      <c r="N49" s="97"/>
    </row>
    <row r="50" spans="1:26" ht="15.75" thickBot="1" x14ac:dyDescent="0.3">
      <c r="A50" s="68"/>
      <c r="B50" s="59"/>
      <c r="C50" s="59"/>
      <c r="D50" s="69"/>
      <c r="E50" s="69"/>
      <c r="F50" s="78"/>
      <c r="G50" s="69"/>
      <c r="H50" s="69"/>
      <c r="I50" s="69"/>
      <c r="J50" s="70"/>
      <c r="K50" s="69"/>
      <c r="L50" s="109"/>
      <c r="M50" s="97"/>
      <c r="N50" s="97"/>
    </row>
    <row r="51" spans="1:26" ht="15.75" customHeight="1" thickBot="1" x14ac:dyDescent="0.3">
      <c r="A51" s="67"/>
      <c r="B51" s="37"/>
      <c r="C51" s="37"/>
      <c r="D51" s="48"/>
      <c r="E51" s="48"/>
      <c r="F51" s="63"/>
      <c r="G51" s="48"/>
      <c r="H51" s="48"/>
      <c r="I51" s="48"/>
      <c r="J51" s="51"/>
      <c r="K51" s="48"/>
      <c r="L51" s="216" t="s">
        <v>81</v>
      </c>
      <c r="M51" s="219" t="s">
        <v>83</v>
      </c>
      <c r="N51" s="112">
        <v>552.4</v>
      </c>
    </row>
    <row r="52" spans="1:26" ht="15" customHeight="1" x14ac:dyDescent="0.25">
      <c r="A52" s="79">
        <v>1</v>
      </c>
      <c r="B52" s="80"/>
      <c r="C52" s="81" t="s">
        <v>124</v>
      </c>
      <c r="D52" s="82"/>
      <c r="E52" s="82"/>
      <c r="F52" s="83">
        <v>0</v>
      </c>
      <c r="G52" s="84"/>
      <c r="H52" s="85" t="s">
        <v>117</v>
      </c>
      <c r="I52" s="170">
        <v>0</v>
      </c>
      <c r="J52" s="171"/>
      <c r="K52" s="172"/>
      <c r="L52" s="217"/>
      <c r="M52" s="219"/>
      <c r="N52" s="112"/>
      <c r="O52" s="131"/>
      <c r="P52" s="36"/>
      <c r="Q52" s="36"/>
      <c r="R52" s="36"/>
      <c r="S52" s="36"/>
      <c r="T52" s="36"/>
      <c r="U52" s="36"/>
    </row>
    <row r="53" spans="1:26" ht="15.75" thickBot="1" x14ac:dyDescent="0.3">
      <c r="A53" s="86">
        <v>0.1</v>
      </c>
      <c r="B53" s="87"/>
      <c r="C53" s="88" t="s">
        <v>47</v>
      </c>
      <c r="D53" s="89">
        <v>138736.47589111311</v>
      </c>
      <c r="E53" s="89">
        <v>223696.80209350551</v>
      </c>
      <c r="F53" s="89">
        <f>D53+E53</f>
        <v>362433.27798461862</v>
      </c>
      <c r="G53" s="90"/>
      <c r="H53" s="89">
        <f>($F$10-F53)</f>
        <v>43312.228363037459</v>
      </c>
      <c r="I53" s="173">
        <f>+F54*(A53-A54) -( 0.5*(F54-F53)*(A53-A54))</f>
        <v>106733.49944702124</v>
      </c>
      <c r="J53" s="174"/>
      <c r="K53" s="173"/>
      <c r="L53" s="218"/>
      <c r="M53" s="219"/>
      <c r="N53" s="112"/>
      <c r="O53" s="36"/>
      <c r="P53" s="36"/>
      <c r="Q53" s="36"/>
      <c r="R53" s="36"/>
      <c r="S53" s="36"/>
      <c r="T53" s="36"/>
      <c r="U53" s="36"/>
    </row>
    <row r="54" spans="1:26" x14ac:dyDescent="0.25">
      <c r="A54" s="86">
        <v>0.02</v>
      </c>
      <c r="B54" s="87"/>
      <c r="C54" s="91" t="s">
        <v>48</v>
      </c>
      <c r="D54" s="89">
        <v>1275023.7693176244</v>
      </c>
      <c r="E54" s="89">
        <v>1030880.438873288</v>
      </c>
      <c r="F54" s="89">
        <f>D54+E54</f>
        <v>2305904.2081909124</v>
      </c>
      <c r="G54" s="90"/>
      <c r="H54" s="89">
        <f>($F$11-F54)</f>
        <v>140126.13041687105</v>
      </c>
      <c r="I54" s="173">
        <f t="shared" ref="I54" si="10">+F55*(A54-A55) -( 0.5*(F55-F54)*(A54-A55))</f>
        <v>30270.13668403621</v>
      </c>
      <c r="J54" s="175"/>
      <c r="K54" s="173"/>
      <c r="L54" s="104"/>
      <c r="M54" s="99"/>
      <c r="N54" s="99"/>
      <c r="O54" s="36"/>
      <c r="P54" s="36"/>
      <c r="Q54" s="36"/>
      <c r="R54" s="36"/>
      <c r="S54" s="36"/>
      <c r="T54" s="36"/>
      <c r="U54" s="36"/>
    </row>
    <row r="55" spans="1:26" x14ac:dyDescent="0.25">
      <c r="A55" s="86">
        <v>0.01</v>
      </c>
      <c r="B55" s="87"/>
      <c r="C55" s="91" t="s">
        <v>49</v>
      </c>
      <c r="D55" s="89">
        <v>2117799.4576416002</v>
      </c>
      <c r="E55" s="89">
        <v>1630323.6709747289</v>
      </c>
      <c r="F55" s="89">
        <f t="shared" ref="F55" si="11">D55+E55</f>
        <v>3748123.1286163293</v>
      </c>
      <c r="G55" s="90"/>
      <c r="H55" s="89">
        <f>($F$12-F55)</f>
        <v>332997.22416686779</v>
      </c>
      <c r="I55" s="173">
        <f>+F56*(A55-A56) -( 0.5*(F56-F55)*(A55-A56))</f>
        <v>68052.353107238712</v>
      </c>
      <c r="J55" s="174"/>
      <c r="K55" s="173"/>
      <c r="L55" s="104"/>
      <c r="M55" s="99"/>
      <c r="N55" s="99"/>
      <c r="O55" s="36"/>
      <c r="P55" s="36"/>
      <c r="Q55" s="36"/>
      <c r="R55" s="36"/>
      <c r="S55" s="36"/>
      <c r="T55" s="36"/>
      <c r="U55" s="36"/>
    </row>
    <row r="56" spans="1:26" ht="15.75" thickBot="1" x14ac:dyDescent="0.3">
      <c r="A56" s="86">
        <v>2E-3</v>
      </c>
      <c r="B56" s="87"/>
      <c r="C56" s="91" t="s">
        <v>50</v>
      </c>
      <c r="D56" s="89">
        <v>7697993.032867427</v>
      </c>
      <c r="E56" s="89">
        <v>5566972.1153259221</v>
      </c>
      <c r="F56" s="89">
        <f>D56+E56</f>
        <v>13264965.148193348</v>
      </c>
      <c r="G56" s="90"/>
      <c r="H56" s="89">
        <f>($F$13-F56)</f>
        <v>1488152.6805267334</v>
      </c>
      <c r="I56" s="176">
        <f>A56*F56</f>
        <v>26529.930296386698</v>
      </c>
      <c r="J56" s="177"/>
      <c r="K56" s="143"/>
      <c r="L56" s="105"/>
      <c r="M56" s="100"/>
      <c r="N56" s="100"/>
      <c r="O56" s="36"/>
      <c r="P56" s="132"/>
      <c r="Q56" s="132"/>
      <c r="R56" s="132"/>
      <c r="S56" s="132"/>
      <c r="T56" s="132"/>
      <c r="U56" s="36"/>
      <c r="V56" s="41"/>
      <c r="W56" s="41"/>
      <c r="X56" s="41"/>
      <c r="Y56" s="41"/>
      <c r="Z56" s="41"/>
    </row>
    <row r="57" spans="1:26" ht="15.75" thickBot="1" x14ac:dyDescent="0.3">
      <c r="A57" s="86"/>
      <c r="B57" s="87">
        <v>1</v>
      </c>
      <c r="C57" s="87"/>
      <c r="D57" s="90"/>
      <c r="E57" s="90"/>
      <c r="F57" s="90"/>
      <c r="G57" s="90"/>
      <c r="H57" s="100"/>
      <c r="I57" s="143"/>
      <c r="J57" s="177">
        <f>SUM(I52:I56)</f>
        <v>231585.91953468288</v>
      </c>
      <c r="K57" s="143">
        <f>+J$14-J57</f>
        <v>19964.056103942858</v>
      </c>
      <c r="L57" s="111">
        <f>+(K57)/($N$51*B57)</f>
        <v>36.140579478535223</v>
      </c>
      <c r="M57" s="100"/>
      <c r="N57" s="100"/>
      <c r="O57" s="36"/>
      <c r="P57" s="132"/>
      <c r="Q57" s="132"/>
      <c r="R57" s="132"/>
      <c r="S57" s="132"/>
      <c r="T57" s="132"/>
      <c r="U57" s="36"/>
      <c r="V57" s="41"/>
      <c r="W57" s="41"/>
      <c r="X57" s="41"/>
      <c r="Y57" s="41"/>
      <c r="Z57" s="41"/>
    </row>
    <row r="58" spans="1:26" ht="15.75" thickBot="1" x14ac:dyDescent="0.3">
      <c r="A58" s="92"/>
      <c r="B58" s="93"/>
      <c r="C58" s="93"/>
      <c r="D58" s="94"/>
      <c r="E58" s="94"/>
      <c r="F58" s="94"/>
      <c r="G58" s="94"/>
      <c r="H58" s="94"/>
      <c r="I58" s="94"/>
      <c r="J58" s="95"/>
      <c r="K58" s="94"/>
      <c r="L58" s="109"/>
      <c r="M58" s="100"/>
      <c r="N58" s="100"/>
      <c r="O58" s="36"/>
      <c r="P58" s="132"/>
      <c r="Q58" s="132"/>
      <c r="R58" s="132"/>
      <c r="S58" s="132"/>
      <c r="T58" s="132"/>
      <c r="U58" s="36"/>
      <c r="V58" s="41"/>
      <c r="W58" s="41"/>
      <c r="X58" s="41"/>
      <c r="Y58" s="41"/>
      <c r="Z58" s="41"/>
    </row>
    <row r="59" spans="1:26" ht="15.75" thickBot="1" x14ac:dyDescent="0.3"/>
    <row r="60" spans="1:26" ht="15.75" thickBot="1" x14ac:dyDescent="0.3">
      <c r="A60" s="178"/>
      <c r="B60" s="179"/>
      <c r="C60" s="179"/>
      <c r="D60" s="180"/>
      <c r="E60" s="180"/>
      <c r="F60" s="180"/>
      <c r="G60" s="180"/>
      <c r="H60" s="180"/>
      <c r="I60" s="180"/>
      <c r="J60" s="181"/>
      <c r="K60" s="180"/>
      <c r="L60" s="209" t="s">
        <v>81</v>
      </c>
    </row>
    <row r="61" spans="1:26" x14ac:dyDescent="0.25">
      <c r="A61" s="182">
        <v>1</v>
      </c>
      <c r="B61" s="183"/>
      <c r="C61" s="184" t="s">
        <v>132</v>
      </c>
      <c r="D61" s="185"/>
      <c r="E61" s="185"/>
      <c r="F61" s="186">
        <v>0</v>
      </c>
      <c r="G61" s="187"/>
      <c r="H61" s="188" t="s">
        <v>133</v>
      </c>
      <c r="I61" s="189">
        <v>0</v>
      </c>
      <c r="J61" s="190"/>
      <c r="K61" s="187"/>
      <c r="L61" s="210"/>
    </row>
    <row r="62" spans="1:26" ht="15.75" thickBot="1" x14ac:dyDescent="0.3">
      <c r="A62" s="178">
        <v>0.1</v>
      </c>
      <c r="B62" s="179"/>
      <c r="C62" s="191" t="s">
        <v>47</v>
      </c>
      <c r="D62" s="192">
        <v>149662.44573974601</v>
      </c>
      <c r="E62" s="192">
        <v>245320.39126586888</v>
      </c>
      <c r="F62" s="192">
        <f>D62+E62</f>
        <v>394982.83700561489</v>
      </c>
      <c r="G62" s="180"/>
      <c r="H62" s="192">
        <f>($F$10-F62)</f>
        <v>10762.66934204119</v>
      </c>
      <c r="I62" s="193">
        <f>+F63*(A62-A63) -( 0.5*(F63-F62)*(A62-A63))</f>
        <v>112227.17051574682</v>
      </c>
      <c r="J62" s="194"/>
      <c r="K62" s="193"/>
      <c r="L62" s="211"/>
    </row>
    <row r="63" spans="1:26" x14ac:dyDescent="0.25">
      <c r="A63" s="178">
        <v>0.02</v>
      </c>
      <c r="B63" s="179"/>
      <c r="C63" s="195" t="s">
        <v>48</v>
      </c>
      <c r="D63" s="192">
        <v>1342686.0768737765</v>
      </c>
      <c r="E63" s="192">
        <v>1068010.3490142794</v>
      </c>
      <c r="F63" s="192">
        <f>D63+E63</f>
        <v>2410696.4258880559</v>
      </c>
      <c r="G63" s="180"/>
      <c r="H63" s="192">
        <f>($F$11-F63)</f>
        <v>35333.912719727494</v>
      </c>
      <c r="I63" s="193">
        <f t="shared" ref="I63" si="12">+F64*(A63-A64) -( 0.5*(F64-F63)*(A63-A64))</f>
        <v>32052.382368011422</v>
      </c>
      <c r="J63" s="196"/>
      <c r="K63" s="193"/>
      <c r="L63" s="197"/>
    </row>
    <row r="64" spans="1:26" x14ac:dyDescent="0.25">
      <c r="A64" s="178">
        <v>0.01</v>
      </c>
      <c r="B64" s="179"/>
      <c r="C64" s="195" t="s">
        <v>49</v>
      </c>
      <c r="D64" s="192">
        <v>2247746.3915100079</v>
      </c>
      <c r="E64" s="192">
        <v>1752033.6562042208</v>
      </c>
      <c r="F64" s="192">
        <f t="shared" ref="F64" si="13">D64+E64</f>
        <v>3999780.0477142287</v>
      </c>
      <c r="G64" s="180"/>
      <c r="H64" s="192">
        <f>($F$12-F64)</f>
        <v>81340.30506896833</v>
      </c>
      <c r="I64" s="193">
        <f>+F65*(A64-A65) -( 0.5*(F65-F64)*(A64-A65))</f>
        <v>73330.469482788016</v>
      </c>
      <c r="J64" s="194"/>
      <c r="K64" s="193"/>
      <c r="L64" s="197"/>
    </row>
    <row r="65" spans="1:12" ht="15.75" thickBot="1" x14ac:dyDescent="0.3">
      <c r="A65" s="178">
        <v>2E-3</v>
      </c>
      <c r="B65" s="179"/>
      <c r="C65" s="195" t="s">
        <v>50</v>
      </c>
      <c r="D65" s="192">
        <v>8345818.4002685482</v>
      </c>
      <c r="E65" s="192">
        <v>5987018.9227142269</v>
      </c>
      <c r="F65" s="192">
        <f>D65+E65</f>
        <v>14332837.322982775</v>
      </c>
      <c r="G65" s="180"/>
      <c r="H65" s="192">
        <f>($F$13-F65)</f>
        <v>420280.50573730655</v>
      </c>
      <c r="I65" s="198">
        <f>A65*F65</f>
        <v>28665.674645965551</v>
      </c>
      <c r="J65" s="181"/>
      <c r="K65" s="180"/>
      <c r="L65" s="199"/>
    </row>
    <row r="66" spans="1:12" ht="15.75" thickBot="1" x14ac:dyDescent="0.3">
      <c r="A66" s="178"/>
      <c r="B66" s="179">
        <v>0.25</v>
      </c>
      <c r="C66" s="179"/>
      <c r="D66" s="180"/>
      <c r="E66" s="180"/>
      <c r="F66" s="180"/>
      <c r="G66" s="180"/>
      <c r="H66" s="200"/>
      <c r="I66" s="180"/>
      <c r="J66" s="181">
        <f>SUM(I61:I65)</f>
        <v>246275.69701251181</v>
      </c>
      <c r="K66" s="180">
        <f>+J$14-J66</f>
        <v>5274.2786261139263</v>
      </c>
      <c r="L66" s="201">
        <f>+(K66)/($N$51*B66)</f>
        <v>38.191735163750373</v>
      </c>
    </row>
    <row r="67" spans="1:12" ht="15.75" thickBot="1" x14ac:dyDescent="0.3">
      <c r="A67" s="202"/>
      <c r="B67" s="203"/>
      <c r="C67" s="203"/>
      <c r="D67" s="204"/>
      <c r="E67" s="204"/>
      <c r="F67" s="204"/>
      <c r="G67" s="204"/>
      <c r="H67" s="204"/>
      <c r="I67" s="204"/>
      <c r="J67" s="205"/>
      <c r="K67" s="204"/>
      <c r="L67" s="206"/>
    </row>
  </sheetData>
  <mergeCells count="13">
    <mergeCell ref="A1:H1"/>
    <mergeCell ref="L51:L53"/>
    <mergeCell ref="M51:M53"/>
    <mergeCell ref="I6:J8"/>
    <mergeCell ref="K6:K8"/>
    <mergeCell ref="L6:L8"/>
    <mergeCell ref="M6:M8"/>
    <mergeCell ref="L60:L62"/>
    <mergeCell ref="A7:A8"/>
    <mergeCell ref="A4:H4"/>
    <mergeCell ref="A2:H2"/>
    <mergeCell ref="A3:H3"/>
    <mergeCell ref="A5:H5"/>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20A5A9-52D5-4AC8-911B-26CFBC11C8AE}">
  <sheetPr>
    <tabColor rgb="FFFFFF00"/>
  </sheetPr>
  <dimension ref="A1:Q45"/>
  <sheetViews>
    <sheetView zoomScale="70" zoomScaleNormal="70" workbookViewId="0">
      <pane ySplit="8" topLeftCell="A9" activePane="bottomLeft" state="frozen"/>
      <selection pane="bottomLeft" activeCell="F19" sqref="F19"/>
    </sheetView>
  </sheetViews>
  <sheetFormatPr defaultRowHeight="15" x14ac:dyDescent="0.25"/>
  <cols>
    <col min="1" max="1" width="7.85546875" style="11" customWidth="1"/>
    <col min="2" max="3" width="7.85546875" customWidth="1"/>
    <col min="4" max="4" width="15" customWidth="1"/>
    <col min="5" max="6" width="14.7109375" customWidth="1"/>
    <col min="7" max="7" width="11.7109375" customWidth="1"/>
    <col min="8" max="8" width="17" customWidth="1"/>
    <col min="9" max="9" width="9.85546875" customWidth="1"/>
    <col min="10" max="10" width="16.7109375" style="42" customWidth="1"/>
    <col min="11" max="11" width="23.5703125" customWidth="1"/>
    <col min="12" max="12" width="23.5703125" style="110" customWidth="1"/>
    <col min="13" max="14" width="23.5703125" customWidth="1"/>
    <col min="15" max="15" width="12.28515625" customWidth="1"/>
    <col min="17" max="17" width="16.5703125" customWidth="1"/>
  </cols>
  <sheetData>
    <row r="1" spans="1:17" ht="57" customHeight="1" x14ac:dyDescent="0.25">
      <c r="A1" s="215" t="s">
        <v>106</v>
      </c>
      <c r="B1" s="222"/>
      <c r="C1" s="222"/>
      <c r="D1" s="222"/>
    </row>
    <row r="2" spans="1:17" x14ac:dyDescent="0.25">
      <c r="A2" s="125" t="s">
        <v>100</v>
      </c>
      <c r="B2" s="126"/>
      <c r="C2" s="126"/>
      <c r="D2" s="126"/>
    </row>
    <row r="3" spans="1:17" x14ac:dyDescent="0.25">
      <c r="A3" s="125" t="s">
        <v>101</v>
      </c>
      <c r="B3" s="126"/>
      <c r="C3" s="126"/>
      <c r="D3" s="126"/>
    </row>
    <row r="4" spans="1:17" x14ac:dyDescent="0.25">
      <c r="A4" s="125" t="s">
        <v>103</v>
      </c>
      <c r="B4" s="126"/>
      <c r="C4" s="126"/>
      <c r="D4" s="126"/>
    </row>
    <row r="5" spans="1:17" x14ac:dyDescent="0.25">
      <c r="A5" s="125" t="s">
        <v>102</v>
      </c>
      <c r="B5" s="126"/>
      <c r="C5" s="126"/>
      <c r="D5" s="126"/>
    </row>
    <row r="6" spans="1:17" ht="20.25" customHeight="1" x14ac:dyDescent="0.25">
      <c r="A6" s="58"/>
      <c r="B6" s="37"/>
      <c r="C6" s="37"/>
      <c r="D6" s="37"/>
      <c r="E6" s="37"/>
      <c r="F6" s="37"/>
      <c r="G6" s="37"/>
      <c r="H6" s="37"/>
      <c r="I6" s="212" t="s">
        <v>84</v>
      </c>
      <c r="J6" s="212"/>
      <c r="K6" s="212" t="s">
        <v>79</v>
      </c>
      <c r="L6" s="220" t="s">
        <v>80</v>
      </c>
      <c r="M6" s="219" t="s">
        <v>82</v>
      </c>
      <c r="N6" s="122">
        <v>3321.99</v>
      </c>
    </row>
    <row r="7" spans="1:17" ht="30" customHeight="1" x14ac:dyDescent="0.25">
      <c r="A7" s="212" t="s">
        <v>78</v>
      </c>
      <c r="B7" s="37"/>
      <c r="C7" s="37"/>
      <c r="D7" s="37"/>
      <c r="E7" s="37"/>
      <c r="F7" s="37"/>
      <c r="G7" s="37"/>
      <c r="H7" s="37"/>
      <c r="I7" s="212"/>
      <c r="J7" s="212"/>
      <c r="K7" s="212"/>
      <c r="L7" s="220"/>
      <c r="M7" s="219"/>
      <c r="N7" s="122"/>
    </row>
    <row r="8" spans="1:17" ht="30" customHeight="1" thickBot="1" x14ac:dyDescent="0.3">
      <c r="A8" s="213"/>
      <c r="B8" s="59"/>
      <c r="C8" s="60" t="s">
        <v>53</v>
      </c>
      <c r="D8" s="20" t="s">
        <v>51</v>
      </c>
      <c r="E8" s="20" t="s">
        <v>52</v>
      </c>
      <c r="F8" s="20" t="s">
        <v>55</v>
      </c>
      <c r="G8" s="59"/>
      <c r="H8" s="96"/>
      <c r="I8" s="213"/>
      <c r="J8" s="213"/>
      <c r="K8" s="213"/>
      <c r="L8" s="221"/>
      <c r="M8" s="219"/>
      <c r="N8" s="122"/>
    </row>
    <row r="9" spans="1:17" x14ac:dyDescent="0.25">
      <c r="A9" s="71">
        <v>1</v>
      </c>
      <c r="B9" s="66"/>
      <c r="C9" s="72"/>
      <c r="D9" s="73"/>
      <c r="E9" s="73"/>
      <c r="F9" s="74">
        <v>0</v>
      </c>
      <c r="G9" s="66"/>
      <c r="H9" s="66"/>
      <c r="I9" s="101">
        <v>0</v>
      </c>
      <c r="J9" s="75"/>
      <c r="K9" s="75"/>
      <c r="L9" s="103"/>
      <c r="M9" s="123"/>
      <c r="N9" s="123"/>
    </row>
    <row r="10" spans="1:17" x14ac:dyDescent="0.25">
      <c r="A10" s="67">
        <v>0.1</v>
      </c>
      <c r="B10" s="37"/>
      <c r="C10" s="38" t="s">
        <v>35</v>
      </c>
      <c r="D10" s="47">
        <v>152887.70776367179</v>
      </c>
      <c r="E10" s="47">
        <v>251749.65954589809</v>
      </c>
      <c r="F10" s="62">
        <f>D10+E10</f>
        <v>404637.36730956985</v>
      </c>
      <c r="G10" s="48">
        <f>F10*A10</f>
        <v>40463.736730956989</v>
      </c>
      <c r="H10" s="48"/>
      <c r="I10" s="49">
        <f>+F11*(A10-A11) -( 0.5*(F11-F10)*(A10-A11))</f>
        <v>113854.90267639146</v>
      </c>
      <c r="J10" s="50"/>
      <c r="K10" s="49"/>
      <c r="L10" s="104"/>
      <c r="M10" s="65"/>
      <c r="N10" s="65"/>
    </row>
    <row r="11" spans="1:17" x14ac:dyDescent="0.25">
      <c r="A11" s="67">
        <v>0.02</v>
      </c>
      <c r="B11" s="37"/>
      <c r="C11" s="38" t="s">
        <v>36</v>
      </c>
      <c r="D11" s="47">
        <v>1362697.4332885726</v>
      </c>
      <c r="E11" s="47">
        <v>1079037.7663116439</v>
      </c>
      <c r="F11" s="62">
        <f t="shared" ref="F11:F13" si="0">D11+E11</f>
        <v>2441735.1996002165</v>
      </c>
      <c r="G11" s="48">
        <f>F11*A11</f>
        <v>48834.703992004332</v>
      </c>
      <c r="H11" s="48"/>
      <c r="I11" s="49">
        <f>+F12*(A11-A12) -( 0.5*(F12-F11)*(A11-A12))</f>
        <v>32536.382060623131</v>
      </c>
      <c r="J11" s="50"/>
      <c r="K11" s="49"/>
      <c r="L11" s="104"/>
      <c r="M11" s="65"/>
      <c r="N11" s="65"/>
    </row>
    <row r="12" spans="1:17" x14ac:dyDescent="0.25">
      <c r="A12" s="67">
        <v>0.01</v>
      </c>
      <c r="B12" s="37"/>
      <c r="C12" s="38" t="s">
        <v>38</v>
      </c>
      <c r="D12" s="47">
        <v>2280515.3882751446</v>
      </c>
      <c r="E12" s="47">
        <v>1785025.8242492652</v>
      </c>
      <c r="F12" s="62">
        <f t="shared" si="0"/>
        <v>4065541.2125244099</v>
      </c>
      <c r="G12" s="48">
        <f t="shared" ref="G12:G13" si="1">F12*A12</f>
        <v>40655.412125244096</v>
      </c>
      <c r="H12" s="48"/>
      <c r="I12" s="49">
        <f>+F13*(A12-A13) -( 0.5*(F13-F12)*(A12-A13))</f>
        <v>75450.731901245032</v>
      </c>
      <c r="J12" s="50"/>
      <c r="K12" s="49"/>
      <c r="L12" s="104"/>
      <c r="M12" s="65"/>
      <c r="N12" s="65"/>
    </row>
    <row r="13" spans="1:17" x14ac:dyDescent="0.25">
      <c r="A13" s="67">
        <v>2E-3</v>
      </c>
      <c r="B13" s="37"/>
      <c r="C13" s="38" t="s">
        <v>37</v>
      </c>
      <c r="D13" s="47">
        <v>8627978.2983093187</v>
      </c>
      <c r="E13" s="47">
        <v>6169163.464477527</v>
      </c>
      <c r="F13" s="62">
        <f t="shared" si="0"/>
        <v>14797141.762786847</v>
      </c>
      <c r="G13" s="48">
        <f t="shared" si="1"/>
        <v>29594.283525573694</v>
      </c>
      <c r="H13" s="48"/>
      <c r="I13" s="124">
        <f>A13*F13</f>
        <v>29594.283525573694</v>
      </c>
      <c r="J13" s="51"/>
      <c r="K13" s="48"/>
      <c r="L13" s="105"/>
      <c r="M13" s="97"/>
      <c r="N13" s="97"/>
    </row>
    <row r="14" spans="1:17" x14ac:dyDescent="0.25">
      <c r="A14" s="67"/>
      <c r="B14" s="37"/>
      <c r="C14" s="37"/>
      <c r="D14" s="48"/>
      <c r="E14" s="48"/>
      <c r="F14" s="63"/>
      <c r="G14" s="48"/>
      <c r="H14" s="48"/>
      <c r="I14" s="48"/>
      <c r="J14" s="51">
        <f>SUM(I9:I13)</f>
        <v>251436.30016383334</v>
      </c>
      <c r="K14" s="48"/>
      <c r="L14" s="105"/>
      <c r="M14" s="97"/>
      <c r="N14" s="97"/>
    </row>
    <row r="15" spans="1:17" x14ac:dyDescent="0.25">
      <c r="A15" s="76"/>
      <c r="B15" s="44"/>
      <c r="C15" s="44"/>
      <c r="D15" s="52"/>
      <c r="E15" s="52"/>
      <c r="F15" s="64"/>
      <c r="G15" s="52"/>
      <c r="H15" s="52"/>
      <c r="I15" s="52"/>
      <c r="J15" s="53"/>
      <c r="K15" s="52"/>
      <c r="L15" s="106"/>
      <c r="M15" s="97"/>
      <c r="N15" s="97"/>
    </row>
    <row r="16" spans="1:17" x14ac:dyDescent="0.25">
      <c r="A16" s="77">
        <v>1</v>
      </c>
      <c r="B16" s="43"/>
      <c r="C16" s="127">
        <v>0.25</v>
      </c>
      <c r="D16" s="55"/>
      <c r="E16" s="55"/>
      <c r="F16" s="61">
        <v>0</v>
      </c>
      <c r="G16" s="46"/>
      <c r="H16" s="54" t="s">
        <v>56</v>
      </c>
      <c r="I16" s="102">
        <v>0</v>
      </c>
      <c r="J16" s="56"/>
      <c r="K16" s="55"/>
      <c r="L16" s="107"/>
      <c r="M16" s="98"/>
      <c r="N16" s="98"/>
      <c r="O16" s="38"/>
      <c r="P16" s="37"/>
      <c r="Q16" s="24"/>
    </row>
    <row r="17" spans="1:17" x14ac:dyDescent="0.25">
      <c r="A17" s="67">
        <v>0.1</v>
      </c>
      <c r="B17" s="37"/>
      <c r="C17" s="38" t="s">
        <v>47</v>
      </c>
      <c r="D17" s="136">
        <v>152887.70776367179</v>
      </c>
      <c r="E17" s="136">
        <v>251749.65954589809</v>
      </c>
      <c r="F17" s="62">
        <f>D17+E17</f>
        <v>404637.36730956985</v>
      </c>
      <c r="G17" s="48"/>
      <c r="H17" s="47">
        <f>$F$10-F17</f>
        <v>0</v>
      </c>
      <c r="I17" s="49">
        <f>+F18*(A17-A18) -( 0.5*(F18-F17)*(A17-A18))</f>
        <v>113854.90267639128</v>
      </c>
      <c r="J17" s="50"/>
      <c r="K17" s="49">
        <f>+I$10-I17</f>
        <v>1.7462298274040222E-10</v>
      </c>
      <c r="L17" s="104">
        <f>+K17/(3321.99*B21)</f>
        <v>2.1026310463355065E-13</v>
      </c>
      <c r="M17" s="65"/>
      <c r="N17" s="65"/>
      <c r="O17" s="39"/>
      <c r="P17" s="37"/>
      <c r="Q17" s="39"/>
    </row>
    <row r="18" spans="1:17" x14ac:dyDescent="0.25">
      <c r="A18" s="67">
        <v>0.02</v>
      </c>
      <c r="B18" s="37"/>
      <c r="C18" s="22" t="s">
        <v>48</v>
      </c>
      <c r="D18" s="136">
        <v>1362697.4332885726</v>
      </c>
      <c r="E18" s="136">
        <v>1079037.7663116399</v>
      </c>
      <c r="F18" s="62">
        <f t="shared" ref="F18:F20" si="2">D18+E18</f>
        <v>2441735.1996002123</v>
      </c>
      <c r="G18" s="48"/>
      <c r="H18" s="47">
        <f>$F$11-F18</f>
        <v>4.1909515857696533E-9</v>
      </c>
      <c r="I18" s="49">
        <f>+F19*(A18-A19) -( 0.5*(F19-F18)*(A18-A19))</f>
        <v>32536.490215225156</v>
      </c>
      <c r="J18" s="50"/>
      <c r="K18" s="49">
        <f>+I$11-I18</f>
        <v>-0.10815460202502436</v>
      </c>
      <c r="L18" s="104">
        <f>+K18/(3321.99*B21)</f>
        <v>-1.3022869066436007E-4</v>
      </c>
      <c r="M18" s="65"/>
      <c r="N18" s="65"/>
      <c r="O18" s="39"/>
      <c r="P18" s="37"/>
      <c r="Q18" s="39"/>
    </row>
    <row r="19" spans="1:17" x14ac:dyDescent="0.25">
      <c r="A19" s="67">
        <v>0.01</v>
      </c>
      <c r="B19" s="37"/>
      <c r="C19" s="22" t="s">
        <v>49</v>
      </c>
      <c r="D19" s="136">
        <v>2280764.5153198219</v>
      </c>
      <c r="E19" s="136">
        <v>1784798.3281249972</v>
      </c>
      <c r="F19" s="62">
        <f t="shared" si="2"/>
        <v>4065562.8434448191</v>
      </c>
      <c r="G19" s="48"/>
      <c r="H19" s="47">
        <f>$F$12-F19</f>
        <v>-21.630920409224927</v>
      </c>
      <c r="I19" s="49">
        <f>+F20*(A19-A20) -( 0.5*(F20-F19)*(A19-A20))</f>
        <v>75450.818424926663</v>
      </c>
      <c r="J19" s="50"/>
      <c r="K19" s="49">
        <f>+I$12-I19</f>
        <v>-8.652368163166102E-2</v>
      </c>
      <c r="L19" s="104">
        <f>+K19/(3321.99*B21)</f>
        <v>-1.0418295254550558E-4</v>
      </c>
      <c r="M19" s="65"/>
      <c r="N19" s="65"/>
      <c r="O19" s="39"/>
      <c r="P19" s="37"/>
      <c r="Q19" s="39"/>
    </row>
    <row r="20" spans="1:17" ht="15.75" thickBot="1" x14ac:dyDescent="0.3">
      <c r="A20" s="67">
        <v>2E-3</v>
      </c>
      <c r="B20" s="37"/>
      <c r="C20" s="22" t="s">
        <v>50</v>
      </c>
      <c r="D20" s="136">
        <v>8627978.2983093187</v>
      </c>
      <c r="E20" s="136">
        <v>6169163.464477527</v>
      </c>
      <c r="F20" s="62">
        <f t="shared" si="2"/>
        <v>14797141.762786847</v>
      </c>
      <c r="G20" s="48"/>
      <c r="H20" s="47">
        <f>$F$13-F20</f>
        <v>0</v>
      </c>
      <c r="I20" s="124">
        <f>A20*F20</f>
        <v>29594.283525573694</v>
      </c>
      <c r="J20" s="51"/>
      <c r="K20" s="48"/>
      <c r="L20" s="105"/>
      <c r="M20" s="97"/>
      <c r="N20" s="97"/>
      <c r="O20" s="39"/>
      <c r="P20" s="37"/>
      <c r="Q20" s="39"/>
    </row>
    <row r="21" spans="1:17" ht="15.75" thickBot="1" x14ac:dyDescent="0.3">
      <c r="A21" s="67"/>
      <c r="B21" s="37">
        <v>0.25</v>
      </c>
      <c r="C21" s="38"/>
      <c r="D21" s="143"/>
      <c r="E21" s="143"/>
      <c r="F21" s="63"/>
      <c r="G21" s="48"/>
      <c r="H21" s="48"/>
      <c r="I21" s="48"/>
      <c r="J21" s="51">
        <f>SUM(I16:I20)</f>
        <v>251436.49484211681</v>
      </c>
      <c r="K21" s="48">
        <f>+J$14-J21</f>
        <v>-0.19467828347114846</v>
      </c>
      <c r="L21" s="111">
        <f>+K21/($N$6*B21)</f>
        <v>-2.344116429864611E-4</v>
      </c>
      <c r="M21" s="97"/>
      <c r="N21" s="97"/>
    </row>
    <row r="22" spans="1:17" x14ac:dyDescent="0.25">
      <c r="A22" s="76"/>
      <c r="B22" s="44"/>
      <c r="C22" s="12"/>
      <c r="D22" s="144"/>
      <c r="E22" s="144"/>
      <c r="F22" s="64"/>
      <c r="G22" s="52"/>
      <c r="H22" s="52"/>
      <c r="I22" s="52"/>
      <c r="J22" s="53"/>
      <c r="K22" s="52"/>
      <c r="L22" s="106"/>
      <c r="M22" s="97"/>
      <c r="N22" s="97"/>
    </row>
    <row r="23" spans="1:17" x14ac:dyDescent="0.25">
      <c r="A23" s="77">
        <v>1</v>
      </c>
      <c r="B23" s="43"/>
      <c r="C23" s="127">
        <v>0.5</v>
      </c>
      <c r="D23" s="145"/>
      <c r="E23" s="145"/>
      <c r="F23" s="61">
        <v>0</v>
      </c>
      <c r="G23" s="46"/>
      <c r="H23" s="54" t="s">
        <v>56</v>
      </c>
      <c r="I23" s="102">
        <v>0</v>
      </c>
      <c r="J23" s="57"/>
      <c r="K23" s="46"/>
      <c r="L23" s="108"/>
      <c r="M23" s="97"/>
      <c r="N23" s="97"/>
    </row>
    <row r="24" spans="1:17" x14ac:dyDescent="0.25">
      <c r="A24" s="67">
        <v>0.1</v>
      </c>
      <c r="B24" s="37"/>
      <c r="C24" s="38" t="s">
        <v>47</v>
      </c>
      <c r="D24" s="136">
        <v>139538.6749267577</v>
      </c>
      <c r="E24" s="136">
        <v>225279.3380737296</v>
      </c>
      <c r="F24" s="62">
        <f>D24+E24</f>
        <v>364818.01300048729</v>
      </c>
      <c r="G24" s="48"/>
      <c r="H24" s="47">
        <f>$F$10-F24</f>
        <v>39819.354309082555</v>
      </c>
      <c r="I24" s="49">
        <f t="shared" ref="I24:I25" si="3">+F25*(A24-A25) -( 0.5*(F25-F24)*(A24-A25))</f>
        <v>108569.74777587866</v>
      </c>
      <c r="J24" s="50"/>
      <c r="K24" s="49">
        <f>+I$10-I24</f>
        <v>5285.1549005128036</v>
      </c>
      <c r="L24" s="104">
        <f>+K24/(3321.99*B28)</f>
        <v>3.1819210175303381</v>
      </c>
      <c r="M24" s="65"/>
      <c r="N24" s="65"/>
    </row>
    <row r="25" spans="1:17" x14ac:dyDescent="0.25">
      <c r="A25" s="67">
        <v>0.02</v>
      </c>
      <c r="B25" s="37"/>
      <c r="C25" s="22" t="s">
        <v>48</v>
      </c>
      <c r="D25" s="136">
        <v>1302942.0016784647</v>
      </c>
      <c r="E25" s="136">
        <v>1046483.6797180147</v>
      </c>
      <c r="F25" s="62">
        <f t="shared" ref="F25:F27" si="4">D25+E25</f>
        <v>2349425.6813964793</v>
      </c>
      <c r="G25" s="48"/>
      <c r="H25" s="47">
        <f>$F$11-F25</f>
        <v>92309.518203737214</v>
      </c>
      <c r="I25" s="49">
        <f t="shared" si="3"/>
        <v>32074.942624206491</v>
      </c>
      <c r="J25" s="50"/>
      <c r="K25" s="49">
        <f>+I$11-I25</f>
        <v>461.43943641664009</v>
      </c>
      <c r="L25" s="104">
        <f>+K25/(3321.99*B28)</f>
        <v>0.27780904603363654</v>
      </c>
      <c r="M25" s="65"/>
      <c r="N25" s="65"/>
    </row>
    <row r="26" spans="1:17" x14ac:dyDescent="0.25">
      <c r="A26" s="67">
        <v>0.01</v>
      </c>
      <c r="B26" s="37"/>
      <c r="C26" s="22" t="s">
        <v>49</v>
      </c>
      <c r="D26" s="136">
        <v>2280764.5153198219</v>
      </c>
      <c r="E26" s="136">
        <v>1784798.3281249972</v>
      </c>
      <c r="F26" s="62">
        <f t="shared" si="4"/>
        <v>4065562.8434448191</v>
      </c>
      <c r="G26" s="48"/>
      <c r="H26" s="47">
        <f>$F$12-F26</f>
        <v>-21.630920409224927</v>
      </c>
      <c r="I26" s="49">
        <f>+F27*(A26-A27) -( 0.5*(F27-F26)*(A26-A27))</f>
        <v>75450.818424926663</v>
      </c>
      <c r="J26" s="50"/>
      <c r="K26" s="49">
        <f>+I$12-I26</f>
        <v>-8.652368163166102E-2</v>
      </c>
      <c r="L26" s="104">
        <f>+K26/(3321.99*B28)</f>
        <v>-5.209147627275279E-5</v>
      </c>
      <c r="M26" s="65"/>
      <c r="N26" s="65"/>
    </row>
    <row r="27" spans="1:17" ht="15.75" thickBot="1" x14ac:dyDescent="0.3">
      <c r="A27" s="67">
        <v>2E-3</v>
      </c>
      <c r="B27" s="37"/>
      <c r="C27" s="22" t="s">
        <v>50</v>
      </c>
      <c r="D27" s="136">
        <v>8627978.2983093187</v>
      </c>
      <c r="E27" s="136">
        <v>6169163.464477527</v>
      </c>
      <c r="F27" s="62">
        <f t="shared" si="4"/>
        <v>14797141.762786847</v>
      </c>
      <c r="G27" s="48"/>
      <c r="H27" s="47">
        <f>$F$13-F27</f>
        <v>0</v>
      </c>
      <c r="I27" s="124">
        <f>A27*F27</f>
        <v>29594.283525573694</v>
      </c>
      <c r="J27" s="51"/>
      <c r="K27" s="48"/>
      <c r="L27" s="105"/>
      <c r="M27" s="97"/>
      <c r="N27" s="97"/>
    </row>
    <row r="28" spans="1:17" ht="15.75" thickBot="1" x14ac:dyDescent="0.3">
      <c r="A28" s="67"/>
      <c r="B28" s="37">
        <v>0.5</v>
      </c>
      <c r="C28" s="38"/>
      <c r="D28" s="143"/>
      <c r="E28" s="143"/>
      <c r="F28" s="63"/>
      <c r="G28" s="48"/>
      <c r="H28" s="48"/>
      <c r="I28" s="48"/>
      <c r="J28" s="51">
        <f>SUM(I23:I27)</f>
        <v>245689.79235058551</v>
      </c>
      <c r="K28" s="48">
        <f>+J$14-J28</f>
        <v>5746.5078132478229</v>
      </c>
      <c r="L28" s="111">
        <f>+K28/($N$6*B28)</f>
        <v>3.4596779720877087</v>
      </c>
      <c r="M28" s="97"/>
      <c r="N28" s="97"/>
    </row>
    <row r="29" spans="1:17" x14ac:dyDescent="0.25">
      <c r="A29" s="76"/>
      <c r="B29" s="44"/>
      <c r="C29" s="12"/>
      <c r="D29" s="144"/>
      <c r="E29" s="144"/>
      <c r="F29" s="64"/>
      <c r="G29" s="52"/>
      <c r="H29" s="52"/>
      <c r="I29" s="52"/>
      <c r="J29" s="53"/>
      <c r="K29" s="52"/>
      <c r="L29" s="106"/>
      <c r="M29" s="97"/>
      <c r="N29" s="97"/>
    </row>
    <row r="30" spans="1:17" x14ac:dyDescent="0.25">
      <c r="A30" s="77">
        <v>1</v>
      </c>
      <c r="B30" s="43"/>
      <c r="C30" s="127">
        <v>0.75</v>
      </c>
      <c r="D30" s="145"/>
      <c r="E30" s="145"/>
      <c r="F30" s="61">
        <v>0</v>
      </c>
      <c r="G30" s="46"/>
      <c r="H30" s="54" t="s">
        <v>56</v>
      </c>
      <c r="I30" s="102">
        <v>0</v>
      </c>
      <c r="J30" s="57"/>
      <c r="K30" s="46"/>
      <c r="L30" s="108"/>
      <c r="M30" s="97"/>
      <c r="N30" s="97"/>
    </row>
    <row r="31" spans="1:17" x14ac:dyDescent="0.25">
      <c r="A31" s="67">
        <v>0.1</v>
      </c>
      <c r="B31" s="37"/>
      <c r="C31" s="38" t="s">
        <v>47</v>
      </c>
      <c r="D31" s="136">
        <v>60504.043243408152</v>
      </c>
      <c r="E31" s="136">
        <v>90287.249053954962</v>
      </c>
      <c r="F31" s="62">
        <f>D31+E31</f>
        <v>150791.29229736311</v>
      </c>
      <c r="G31" s="48"/>
      <c r="H31" s="47">
        <f>$F$10-F31</f>
        <v>253846.07501220674</v>
      </c>
      <c r="I31" s="49">
        <f t="shared" ref="I31:I32" si="5">+F32*(A31-A32) -( 0.5*(F32-F31)*(A31-A32))</f>
        <v>53520.569300536998</v>
      </c>
      <c r="J31" s="50"/>
      <c r="K31" s="49">
        <f>+I$10-I31</f>
        <v>60334.333375854461</v>
      </c>
      <c r="L31" s="104">
        <f>+K31/(3321.99*B35)</f>
        <v>24.216140877748764</v>
      </c>
      <c r="M31" s="65"/>
      <c r="N31" s="65"/>
    </row>
    <row r="32" spans="1:17" x14ac:dyDescent="0.25">
      <c r="A32" s="67">
        <v>0.02</v>
      </c>
      <c r="B32" s="37"/>
      <c r="C32" s="22" t="s">
        <v>48</v>
      </c>
      <c r="D32" s="136">
        <v>570307.6552124013</v>
      </c>
      <c r="E32" s="136">
        <v>616915.28500366025</v>
      </c>
      <c r="F32" s="62">
        <f t="shared" ref="F32:F34" si="6">D32+E32</f>
        <v>1187222.9402160617</v>
      </c>
      <c r="G32" s="48"/>
      <c r="H32" s="47">
        <f>$F$11-F32</f>
        <v>1254512.2593841548</v>
      </c>
      <c r="I32" s="49">
        <f t="shared" si="5"/>
        <v>26263.928918304402</v>
      </c>
      <c r="J32" s="50"/>
      <c r="K32" s="49">
        <f>+I$11-I32</f>
        <v>6272.4531423187291</v>
      </c>
      <c r="L32" s="104">
        <f>+K32/(3321.99*B35)</f>
        <v>2.5175484743858267</v>
      </c>
      <c r="M32" s="65"/>
      <c r="N32" s="65"/>
    </row>
    <row r="33" spans="1:16" x14ac:dyDescent="0.25">
      <c r="A33" s="67">
        <v>0.01</v>
      </c>
      <c r="B33" s="37"/>
      <c r="C33" s="22" t="s">
        <v>49</v>
      </c>
      <c r="D33" s="136">
        <v>2280764.5153198219</v>
      </c>
      <c r="E33" s="136">
        <v>1784798.3281249972</v>
      </c>
      <c r="F33" s="62">
        <f t="shared" si="6"/>
        <v>4065562.8434448191</v>
      </c>
      <c r="G33" s="48"/>
      <c r="H33" s="47">
        <f>$F$12-F33</f>
        <v>-21.630920409224927</v>
      </c>
      <c r="I33" s="49">
        <f>+F34*(A33-A34) -( 0.5*(F34-F33)*(A33-A34))</f>
        <v>75450.818424926663</v>
      </c>
      <c r="J33" s="50"/>
      <c r="K33" s="49">
        <f>+I$12-I33</f>
        <v>-8.652368163166102E-2</v>
      </c>
      <c r="L33" s="104">
        <f>+K33/(3321.99*B35)</f>
        <v>-3.4727650848501864E-5</v>
      </c>
      <c r="M33" s="65"/>
      <c r="N33" s="65"/>
    </row>
    <row r="34" spans="1:16" ht="15.75" thickBot="1" x14ac:dyDescent="0.3">
      <c r="A34" s="67">
        <v>2E-3</v>
      </c>
      <c r="B34" s="37"/>
      <c r="C34" s="22" t="s">
        <v>50</v>
      </c>
      <c r="D34" s="136">
        <v>8627978.2983093187</v>
      </c>
      <c r="E34" s="136">
        <v>6169163.464477527</v>
      </c>
      <c r="F34" s="62">
        <f t="shared" si="6"/>
        <v>14797141.762786847</v>
      </c>
      <c r="G34" s="48"/>
      <c r="H34" s="47">
        <f>$F$13-F34</f>
        <v>0</v>
      </c>
      <c r="I34" s="124">
        <f>A34*F34</f>
        <v>29594.283525573694</v>
      </c>
      <c r="J34" s="51"/>
      <c r="K34" s="48"/>
      <c r="L34" s="105"/>
      <c r="M34" s="97"/>
      <c r="N34" s="97"/>
    </row>
    <row r="35" spans="1:16" ht="15.75" thickBot="1" x14ac:dyDescent="0.3">
      <c r="A35" s="67"/>
      <c r="B35" s="37">
        <v>0.75</v>
      </c>
      <c r="C35" s="38"/>
      <c r="D35" s="143"/>
      <c r="E35" s="143"/>
      <c r="F35" s="63"/>
      <c r="G35" s="48"/>
      <c r="H35" s="48"/>
      <c r="I35" s="48"/>
      <c r="J35" s="51">
        <f>SUM(I30:I34)</f>
        <v>184829.60016934175</v>
      </c>
      <c r="K35" s="48">
        <f>+J$14-J35</f>
        <v>66606.699994491588</v>
      </c>
      <c r="L35" s="111">
        <f>+K35/($N$6*B35)</f>
        <v>26.733654624483755</v>
      </c>
      <c r="M35" s="97"/>
      <c r="N35" s="97"/>
    </row>
    <row r="36" spans="1:16" x14ac:dyDescent="0.25">
      <c r="A36" s="76"/>
      <c r="B36" s="44"/>
      <c r="C36" s="12"/>
      <c r="D36" s="144"/>
      <c r="E36" s="144"/>
      <c r="F36" s="64"/>
      <c r="G36" s="52"/>
      <c r="H36" s="52"/>
      <c r="I36" s="52"/>
      <c r="J36" s="53"/>
      <c r="K36" s="52"/>
      <c r="L36" s="106"/>
      <c r="M36" s="97"/>
      <c r="N36" s="97"/>
    </row>
    <row r="37" spans="1:16" x14ac:dyDescent="0.25">
      <c r="A37" s="77">
        <v>1</v>
      </c>
      <c r="B37" s="43"/>
      <c r="C37" s="127">
        <v>1</v>
      </c>
      <c r="D37" s="145"/>
      <c r="E37" s="145"/>
      <c r="F37" s="61">
        <v>0</v>
      </c>
      <c r="G37" s="46"/>
      <c r="H37" s="54" t="s">
        <v>56</v>
      </c>
      <c r="I37" s="102">
        <v>0</v>
      </c>
      <c r="J37" s="57"/>
      <c r="K37" s="46"/>
      <c r="L37" s="108"/>
      <c r="M37" s="97"/>
      <c r="N37" s="97"/>
    </row>
    <row r="38" spans="1:16" x14ac:dyDescent="0.25">
      <c r="A38" s="67">
        <v>0.1</v>
      </c>
      <c r="B38" s="37"/>
      <c r="C38" s="38" t="s">
        <v>47</v>
      </c>
      <c r="D38" s="136">
        <v>21425.601562499902</v>
      </c>
      <c r="E38" s="136">
        <v>30544.40234375</v>
      </c>
      <c r="F38" s="62">
        <f>D38+E38</f>
        <v>51970.003906249898</v>
      </c>
      <c r="G38" s="48"/>
      <c r="H38" s="47">
        <f>$F$10-F38</f>
        <v>352667.36340331996</v>
      </c>
      <c r="I38" s="49">
        <f t="shared" ref="I38:I39" si="7">+F39*(A38-A39) -( 0.5*(F39-F38)*(A38-A39))</f>
        <v>22618.701774291938</v>
      </c>
      <c r="J38" s="50"/>
      <c r="K38" s="49">
        <f>+I$10-I38</f>
        <v>91236.200902099517</v>
      </c>
      <c r="L38" s="104">
        <f>+K38/(3321.99*B42)</f>
        <v>27.464321356205023</v>
      </c>
      <c r="M38" s="65"/>
      <c r="N38" s="65"/>
    </row>
    <row r="39" spans="1:16" x14ac:dyDescent="0.25">
      <c r="A39" s="67">
        <v>0.02</v>
      </c>
      <c r="B39" s="37"/>
      <c r="C39" s="22" t="s">
        <v>48</v>
      </c>
      <c r="D39" s="136">
        <v>194044.5819091796</v>
      </c>
      <c r="E39" s="136">
        <v>319452.95854186895</v>
      </c>
      <c r="F39" s="62">
        <f t="shared" ref="F39:F41" si="8">D39+E39</f>
        <v>513497.54045104852</v>
      </c>
      <c r="G39" s="48"/>
      <c r="H39" s="47">
        <f>$F$11-F39</f>
        <v>1928237.6591491681</v>
      </c>
      <c r="I39" s="49">
        <f t="shared" si="7"/>
        <v>17286.262719421356</v>
      </c>
      <c r="J39" s="50"/>
      <c r="K39" s="49">
        <f>+I$11-I39</f>
        <v>15250.119341201775</v>
      </c>
      <c r="L39" s="104">
        <f>+K39/(3321.99*B42)</f>
        <v>4.5906578108909946</v>
      </c>
      <c r="M39" s="65"/>
      <c r="N39" s="65"/>
    </row>
    <row r="40" spans="1:16" x14ac:dyDescent="0.25">
      <c r="A40" s="67">
        <v>0.01</v>
      </c>
      <c r="B40" s="37"/>
      <c r="C40" s="22" t="s">
        <v>49</v>
      </c>
      <c r="D40" s="136">
        <v>1686178.5289001444</v>
      </c>
      <c r="E40" s="136">
        <v>1257576.4745330785</v>
      </c>
      <c r="F40" s="62">
        <f t="shared" si="8"/>
        <v>2943755.0034332229</v>
      </c>
      <c r="G40" s="48"/>
      <c r="H40" s="47">
        <f>$F$12-F40</f>
        <v>1121786.209091187</v>
      </c>
      <c r="I40" s="49">
        <f>+F41*(A40-A41) -( 0.5*(F41-F40)*(A40-A41))</f>
        <v>70963.587064880281</v>
      </c>
      <c r="J40" s="50"/>
      <c r="K40" s="49">
        <f>+I$12-I40</f>
        <v>4487.1448363647505</v>
      </c>
      <c r="L40" s="104">
        <f>+K40/(3321.99*B42)</f>
        <v>1.350740019194745</v>
      </c>
      <c r="M40" s="65"/>
      <c r="N40" s="65"/>
    </row>
    <row r="41" spans="1:16" ht="15.75" thickBot="1" x14ac:dyDescent="0.3">
      <c r="A41" s="67">
        <v>2E-3</v>
      </c>
      <c r="B41" s="37"/>
      <c r="C41" s="22" t="s">
        <v>50</v>
      </c>
      <c r="D41" s="136">
        <v>8627978.2983093187</v>
      </c>
      <c r="E41" s="136">
        <v>6169163.464477527</v>
      </c>
      <c r="F41" s="62">
        <f t="shared" si="8"/>
        <v>14797141.762786847</v>
      </c>
      <c r="G41" s="48"/>
      <c r="H41" s="47">
        <f>$F$13-F41</f>
        <v>0</v>
      </c>
      <c r="I41" s="124">
        <f>A41*F41</f>
        <v>29594.283525573694</v>
      </c>
      <c r="J41" s="51"/>
      <c r="K41" s="48"/>
      <c r="L41" s="105"/>
      <c r="M41" s="97"/>
      <c r="N41" s="97"/>
    </row>
    <row r="42" spans="1:16" ht="15.75" thickBot="1" x14ac:dyDescent="0.3">
      <c r="A42" s="67"/>
      <c r="B42" s="37">
        <v>1</v>
      </c>
      <c r="C42" s="37"/>
      <c r="D42" s="143"/>
      <c r="E42" s="143"/>
      <c r="F42" s="63"/>
      <c r="G42" s="48"/>
      <c r="H42" s="48"/>
      <c r="I42" s="48"/>
      <c r="J42" s="51">
        <f>SUM(I37:I41)</f>
        <v>140462.83508416728</v>
      </c>
      <c r="K42" s="48">
        <f>+J$14-J42</f>
        <v>110973.46507966606</v>
      </c>
      <c r="L42" s="111">
        <f>+K42/($N$6*B42)</f>
        <v>33.405719186290767</v>
      </c>
      <c r="M42" s="97"/>
      <c r="N42" s="97"/>
    </row>
    <row r="43" spans="1:16" x14ac:dyDescent="0.25">
      <c r="D43" s="146"/>
      <c r="E43" s="146"/>
      <c r="P43" s="41"/>
    </row>
    <row r="44" spans="1:16" x14ac:dyDescent="0.25">
      <c r="D44" s="146"/>
      <c r="E44" s="146"/>
    </row>
    <row r="45" spans="1:16" x14ac:dyDescent="0.25">
      <c r="D45" s="146"/>
      <c r="E45" s="146"/>
    </row>
  </sheetData>
  <mergeCells count="6">
    <mergeCell ref="A1:D1"/>
    <mergeCell ref="I6:J8"/>
    <mergeCell ref="K6:K8"/>
    <mergeCell ref="L6:L8"/>
    <mergeCell ref="M6:M8"/>
    <mergeCell ref="A7:A8"/>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E11DBB-F9DE-441B-AA22-658BD84A8546}">
  <sheetPr>
    <tabColor rgb="FF00B0F0"/>
  </sheetPr>
  <dimension ref="A1:Q58"/>
  <sheetViews>
    <sheetView zoomScale="55" zoomScaleNormal="55" workbookViewId="0">
      <pane ySplit="8" topLeftCell="A42" activePane="bottomLeft" state="frozen"/>
      <selection pane="bottomLeft" activeCell="M60" sqref="M60"/>
    </sheetView>
  </sheetViews>
  <sheetFormatPr defaultRowHeight="15" x14ac:dyDescent="0.25"/>
  <cols>
    <col min="1" max="1" width="7.85546875" style="11" customWidth="1"/>
    <col min="2" max="3" width="7.85546875" customWidth="1"/>
    <col min="4" max="4" width="15.28515625" customWidth="1"/>
    <col min="5" max="6" width="14.7109375" customWidth="1"/>
    <col min="7" max="7" width="11.7109375" customWidth="1"/>
    <col min="8" max="8" width="17" customWidth="1"/>
    <col min="9" max="9" width="9.85546875" customWidth="1"/>
    <col min="10" max="10" width="16.7109375" style="42" customWidth="1"/>
    <col min="11" max="11" width="16.42578125" customWidth="1"/>
    <col min="12" max="12" width="23.5703125" style="110" customWidth="1"/>
    <col min="13" max="14" width="23.5703125" customWidth="1"/>
    <col min="15" max="15" width="12.28515625" customWidth="1"/>
    <col min="17" max="17" width="16.5703125" customWidth="1"/>
  </cols>
  <sheetData>
    <row r="1" spans="1:14" ht="57" customHeight="1" x14ac:dyDescent="0.25">
      <c r="A1" s="223" t="s">
        <v>109</v>
      </c>
      <c r="B1" s="223"/>
      <c r="C1" s="223"/>
      <c r="D1" s="223"/>
      <c r="E1" s="223"/>
      <c r="F1" s="223"/>
    </row>
    <row r="2" spans="1:14" x14ac:dyDescent="0.25">
      <c r="A2" s="214" t="s">
        <v>100</v>
      </c>
      <c r="B2" s="214"/>
      <c r="C2" s="214"/>
      <c r="D2" s="214"/>
      <c r="E2" s="214"/>
      <c r="F2" s="214"/>
    </row>
    <row r="3" spans="1:14" x14ac:dyDescent="0.25">
      <c r="A3" s="214" t="s">
        <v>113</v>
      </c>
      <c r="B3" s="214"/>
      <c r="C3" s="214"/>
      <c r="D3" s="214"/>
      <c r="E3" s="214"/>
      <c r="F3" s="214"/>
    </row>
    <row r="4" spans="1:14" x14ac:dyDescent="0.25">
      <c r="A4" s="214" t="s">
        <v>103</v>
      </c>
      <c r="B4" s="214"/>
      <c r="C4" s="214"/>
      <c r="D4" s="214"/>
      <c r="E4" s="214"/>
      <c r="F4" s="214"/>
    </row>
    <row r="5" spans="1:14" x14ac:dyDescent="0.25">
      <c r="A5" s="214" t="s">
        <v>114</v>
      </c>
      <c r="B5" s="214"/>
      <c r="C5" s="214"/>
      <c r="D5" s="214"/>
      <c r="E5" s="214"/>
      <c r="F5" s="214"/>
    </row>
    <row r="6" spans="1:14" ht="21.75" customHeight="1" x14ac:dyDescent="0.25">
      <c r="A6" s="58"/>
      <c r="B6" s="37"/>
      <c r="C6" s="37"/>
      <c r="D6" s="37"/>
      <c r="E6" s="37"/>
      <c r="F6" s="37"/>
      <c r="G6" s="37"/>
      <c r="H6" s="37"/>
      <c r="I6" s="212" t="s">
        <v>84</v>
      </c>
      <c r="J6" s="212"/>
      <c r="K6" s="212" t="s">
        <v>79</v>
      </c>
      <c r="L6" s="220" t="s">
        <v>80</v>
      </c>
      <c r="M6" s="224" t="s">
        <v>105</v>
      </c>
      <c r="N6">
        <v>4209.4622650000001</v>
      </c>
    </row>
    <row r="7" spans="1:14" ht="15" customHeight="1" x14ac:dyDescent="0.25">
      <c r="A7" s="212" t="s">
        <v>78</v>
      </c>
      <c r="B7" s="37"/>
      <c r="C7" s="37"/>
      <c r="D7" s="37"/>
      <c r="E7" s="37"/>
      <c r="F7" s="37"/>
      <c r="G7" s="37"/>
      <c r="H7" s="37"/>
      <c r="I7" s="212"/>
      <c r="J7" s="212"/>
      <c r="K7" s="212"/>
      <c r="L7" s="220"/>
      <c r="M7" s="224"/>
      <c r="N7" s="129"/>
    </row>
    <row r="8" spans="1:14" ht="15.75" thickBot="1" x14ac:dyDescent="0.3">
      <c r="A8" s="213"/>
      <c r="B8" s="59"/>
      <c r="C8" s="134" t="s">
        <v>53</v>
      </c>
      <c r="D8" s="20" t="s">
        <v>51</v>
      </c>
      <c r="E8" s="20" t="s">
        <v>52</v>
      </c>
      <c r="F8" s="20" t="s">
        <v>55</v>
      </c>
      <c r="G8" s="59"/>
      <c r="H8" s="96"/>
      <c r="I8" s="213"/>
      <c r="J8" s="213"/>
      <c r="K8" s="213"/>
      <c r="L8" s="221"/>
      <c r="M8" s="224"/>
      <c r="N8" s="129"/>
    </row>
    <row r="9" spans="1:14" x14ac:dyDescent="0.25">
      <c r="A9" s="71">
        <v>1</v>
      </c>
      <c r="B9" s="66"/>
      <c r="C9" s="72"/>
      <c r="D9" s="73"/>
      <c r="E9" s="73"/>
      <c r="F9" s="74">
        <v>0</v>
      </c>
      <c r="G9" s="66"/>
      <c r="H9" s="66"/>
      <c r="I9" s="101">
        <v>0</v>
      </c>
      <c r="J9" s="75"/>
      <c r="K9" s="75"/>
      <c r="L9" s="103"/>
      <c r="M9" s="123"/>
      <c r="N9" s="123"/>
    </row>
    <row r="10" spans="1:14" x14ac:dyDescent="0.25">
      <c r="A10" s="67">
        <v>0.1</v>
      </c>
      <c r="B10" s="37"/>
      <c r="C10" s="38" t="s">
        <v>35</v>
      </c>
      <c r="D10" s="114">
        <v>128007.66172194462</v>
      </c>
      <c r="E10" s="114">
        <v>62039.318701267039</v>
      </c>
      <c r="F10" s="62">
        <f>D10+E10</f>
        <v>190046.98042321164</v>
      </c>
      <c r="G10" s="48">
        <f>F10*A10</f>
        <v>19004.698042321164</v>
      </c>
      <c r="H10" s="48"/>
      <c r="I10" s="49">
        <f>+F11*(A10-A11) -( 0.5*(F11-F10)*(A10-A11))</f>
        <v>26992.626788797323</v>
      </c>
      <c r="J10" s="50"/>
      <c r="K10" s="49"/>
      <c r="L10" s="104"/>
      <c r="M10" s="65"/>
      <c r="N10" s="65"/>
    </row>
    <row r="11" spans="1:14" x14ac:dyDescent="0.25">
      <c r="A11" s="67">
        <v>0.02</v>
      </c>
      <c r="B11" s="37"/>
      <c r="C11" s="38" t="s">
        <v>36</v>
      </c>
      <c r="D11" s="114">
        <v>340467.86721801688</v>
      </c>
      <c r="E11" s="114">
        <v>144300.82207870446</v>
      </c>
      <c r="F11" s="62">
        <f t="shared" ref="F11:F13" si="0">D11+E11</f>
        <v>484768.68929672136</v>
      </c>
      <c r="G11" s="48">
        <f t="shared" ref="G11:G13" si="1">F11*A11</f>
        <v>9695.3737859344274</v>
      </c>
      <c r="H11" s="48"/>
      <c r="I11" s="49">
        <f>+F12*(A11-A12) -( 0.5*(F12-F11)*(A11-A12))</f>
        <v>7010.1677259349699</v>
      </c>
      <c r="J11" s="50"/>
      <c r="K11" s="49"/>
      <c r="L11" s="104"/>
      <c r="M11" s="65"/>
      <c r="N11" s="65"/>
    </row>
    <row r="12" spans="1:14" x14ac:dyDescent="0.25">
      <c r="A12" s="67">
        <v>0.01</v>
      </c>
      <c r="B12" s="37"/>
      <c r="C12" s="38" t="s">
        <v>38</v>
      </c>
      <c r="D12" s="114">
        <v>620878.90874099662</v>
      </c>
      <c r="E12" s="114">
        <v>296385.94714927615</v>
      </c>
      <c r="F12" s="62">
        <f t="shared" si="0"/>
        <v>917264.85589027277</v>
      </c>
      <c r="G12" s="48">
        <f t="shared" si="1"/>
        <v>9172.648558902727</v>
      </c>
      <c r="H12" s="48"/>
      <c r="I12" s="49">
        <f>+F13*(A12-A13) -( 0.5*(F13-F12)*(A12-A13))</f>
        <v>9643.8323641738771</v>
      </c>
      <c r="J12" s="50"/>
      <c r="K12" s="49"/>
      <c r="L12" s="104"/>
      <c r="M12" s="65"/>
      <c r="N12" s="65"/>
    </row>
    <row r="13" spans="1:14" x14ac:dyDescent="0.25">
      <c r="A13" s="67">
        <v>2E-3</v>
      </c>
      <c r="B13" s="37"/>
      <c r="C13" s="38" t="s">
        <v>37</v>
      </c>
      <c r="D13" s="114">
        <v>977035.9480628958</v>
      </c>
      <c r="E13" s="114">
        <v>516657.28709030076</v>
      </c>
      <c r="F13" s="62">
        <f t="shared" si="0"/>
        <v>1493693.2351531966</v>
      </c>
      <c r="G13" s="48">
        <f t="shared" si="1"/>
        <v>2987.3864703063932</v>
      </c>
      <c r="H13" s="48"/>
      <c r="I13" s="124">
        <f>A13*F13</f>
        <v>2987.3864703063932</v>
      </c>
      <c r="J13" s="51"/>
      <c r="K13" s="48"/>
      <c r="L13" s="105"/>
      <c r="M13" s="97"/>
      <c r="N13" s="97"/>
    </row>
    <row r="14" spans="1:14" x14ac:dyDescent="0.25">
      <c r="A14" s="67"/>
      <c r="B14" s="37"/>
      <c r="C14" s="37"/>
      <c r="D14" s="128"/>
      <c r="E14" s="128"/>
      <c r="F14" s="63"/>
      <c r="G14" s="48"/>
      <c r="H14" s="48"/>
      <c r="I14" s="48"/>
      <c r="J14" s="51">
        <f>SUM(I9:I13)</f>
        <v>46634.013349212561</v>
      </c>
      <c r="K14" s="48"/>
      <c r="L14" s="105"/>
      <c r="M14" s="97"/>
      <c r="N14" s="97"/>
    </row>
    <row r="15" spans="1:14" ht="15.75" thickBot="1" x14ac:dyDescent="0.3">
      <c r="A15" s="76"/>
      <c r="B15" s="44"/>
      <c r="C15" s="44"/>
      <c r="D15" s="52"/>
      <c r="E15" s="52"/>
      <c r="F15" s="64"/>
      <c r="G15" s="52"/>
      <c r="H15" s="52"/>
      <c r="I15" s="52"/>
      <c r="J15" s="53"/>
      <c r="K15" s="52"/>
      <c r="L15" s="106"/>
      <c r="M15" s="97"/>
      <c r="N15" s="97"/>
    </row>
    <row r="16" spans="1:14" ht="15.75" thickBot="1" x14ac:dyDescent="0.3">
      <c r="A16" s="71">
        <v>1</v>
      </c>
      <c r="B16" s="43"/>
      <c r="C16" s="134" t="s">
        <v>119</v>
      </c>
      <c r="D16" s="55"/>
      <c r="E16" s="55"/>
      <c r="F16" s="61">
        <v>0</v>
      </c>
      <c r="G16" s="46"/>
      <c r="H16" s="54" t="s">
        <v>56</v>
      </c>
      <c r="I16" s="102">
        <v>0</v>
      </c>
      <c r="J16" s="56"/>
      <c r="K16" s="55"/>
      <c r="L16" s="107"/>
      <c r="M16" s="97"/>
      <c r="N16" s="97"/>
    </row>
    <row r="17" spans="1:17" x14ac:dyDescent="0.25">
      <c r="A17" s="67">
        <v>0.1</v>
      </c>
      <c r="B17" s="37"/>
      <c r="C17" s="38" t="s">
        <v>47</v>
      </c>
      <c r="D17" s="114">
        <v>113688.23018646218</v>
      </c>
      <c r="E17" s="114">
        <v>56292.015800476001</v>
      </c>
      <c r="F17" s="62">
        <f>D17+E17</f>
        <v>169980.24598693819</v>
      </c>
      <c r="G17" s="48"/>
      <c r="H17" s="47">
        <f>$F$10-F17</f>
        <v>20066.734436273458</v>
      </c>
      <c r="I17" s="49">
        <f>+F18*(A17-A18) -( 0.5*(F18-F17)*(A17-A18))</f>
        <v>25450.147633056589</v>
      </c>
      <c r="J17" s="50"/>
      <c r="K17" s="49">
        <f>+I$10-I17</f>
        <v>1542.4791557407334</v>
      </c>
      <c r="L17" s="104">
        <f>+K17/($N$6*$B$21)</f>
        <v>7.3286280224713369</v>
      </c>
      <c r="M17" s="97"/>
      <c r="N17" s="97"/>
    </row>
    <row r="18" spans="1:17" x14ac:dyDescent="0.25">
      <c r="A18" s="67">
        <v>0.02</v>
      </c>
      <c r="B18" s="37"/>
      <c r="C18" s="22" t="s">
        <v>48</v>
      </c>
      <c r="D18" s="114">
        <v>325311.56369018508</v>
      </c>
      <c r="E18" s="114">
        <v>140961.88114929147</v>
      </c>
      <c r="F18" s="62">
        <f t="shared" ref="F18:F20" si="2">D18+E18</f>
        <v>466273.44483947655</v>
      </c>
      <c r="G18" s="48"/>
      <c r="H18" s="47">
        <f>$F$11-F18</f>
        <v>18495.244457244815</v>
      </c>
      <c r="I18" s="49">
        <f>+F19*(A18-A19) -( 0.5*(F19-F18)*(A18-A19))</f>
        <v>6168.046383857718</v>
      </c>
      <c r="J18" s="50"/>
      <c r="K18" s="49">
        <f>+I$11-I18</f>
        <v>842.12134207725194</v>
      </c>
      <c r="L18" s="104">
        <f t="shared" ref="L18:L19" si="3">+K18/($N$6*$B$21)</f>
        <v>4.0010874979407944</v>
      </c>
      <c r="M18" s="97"/>
      <c r="N18" s="97"/>
    </row>
    <row r="19" spans="1:17" x14ac:dyDescent="0.25">
      <c r="A19" s="67">
        <v>0.01</v>
      </c>
      <c r="B19" s="37"/>
      <c r="C19" s="22" t="s">
        <v>49</v>
      </c>
      <c r="D19" s="114">
        <v>530085.34742736781</v>
      </c>
      <c r="E19" s="114">
        <v>237250.48450469921</v>
      </c>
      <c r="F19" s="62">
        <f t="shared" si="2"/>
        <v>767335.83193206706</v>
      </c>
      <c r="G19" s="48"/>
      <c r="H19" s="47">
        <f>$F$12-F19</f>
        <v>149929.02395820571</v>
      </c>
      <c r="I19" s="49">
        <f>+F20*(A19-A20) -( 0.5*(F20-F19)*(A19-A20))</f>
        <v>8051.4567635192798</v>
      </c>
      <c r="J19" s="50"/>
      <c r="K19" s="49">
        <f>+I$12-I19</f>
        <v>1592.3756006545973</v>
      </c>
      <c r="L19" s="104">
        <f t="shared" si="3"/>
        <v>7.5656960457613094</v>
      </c>
      <c r="M19" s="97"/>
      <c r="N19" s="97"/>
    </row>
    <row r="20" spans="1:17" ht="15.75" thickBot="1" x14ac:dyDescent="0.3">
      <c r="A20" s="67">
        <v>2E-3</v>
      </c>
      <c r="B20" s="37"/>
      <c r="C20" s="22" t="s">
        <v>50</v>
      </c>
      <c r="D20" s="114">
        <v>820803.36714172305</v>
      </c>
      <c r="E20" s="114">
        <v>424724.99180602975</v>
      </c>
      <c r="F20" s="62">
        <f t="shared" si="2"/>
        <v>1245528.3589477527</v>
      </c>
      <c r="G20" s="48"/>
      <c r="H20" s="47">
        <f>$F$13-F20</f>
        <v>248164.87620544387</v>
      </c>
      <c r="I20" s="124">
        <f>A20*F20</f>
        <v>2491.0567178955057</v>
      </c>
      <c r="J20" s="51"/>
      <c r="K20" s="49"/>
      <c r="L20" s="105"/>
      <c r="M20" s="97"/>
      <c r="N20" s="97"/>
    </row>
    <row r="21" spans="1:17" ht="15.75" thickBot="1" x14ac:dyDescent="0.3">
      <c r="A21" s="67"/>
      <c r="B21" s="37">
        <v>0.05</v>
      </c>
      <c r="C21" s="38"/>
      <c r="D21" s="128"/>
      <c r="E21" s="128"/>
      <c r="F21" s="63"/>
      <c r="G21" s="48"/>
      <c r="H21" s="48"/>
      <c r="I21" s="48"/>
      <c r="J21" s="51">
        <f>SUM(I16:I20)</f>
        <v>42160.707498329088</v>
      </c>
      <c r="K21" s="48">
        <f>+J$14-J21</f>
        <v>4473.3058508834729</v>
      </c>
      <c r="L21" s="111">
        <f>+K21/($N$6*B21)</f>
        <v>21.253573826173604</v>
      </c>
      <c r="M21" s="169">
        <f>+$N$6*B21</f>
        <v>210.47311325000001</v>
      </c>
      <c r="N21" s="97"/>
    </row>
    <row r="22" spans="1:17" x14ac:dyDescent="0.25">
      <c r="A22" s="67"/>
      <c r="B22" s="44"/>
      <c r="C22" s="12"/>
      <c r="D22" s="52"/>
      <c r="E22" s="52"/>
      <c r="F22" s="64"/>
      <c r="G22" s="52"/>
      <c r="H22" s="52"/>
      <c r="I22" s="52"/>
      <c r="J22" s="53"/>
      <c r="K22" s="52"/>
      <c r="L22" s="106"/>
      <c r="M22" s="97"/>
      <c r="N22" s="97"/>
    </row>
    <row r="23" spans="1:17" ht="15.75" thickBot="1" x14ac:dyDescent="0.3">
      <c r="A23" s="77">
        <v>1</v>
      </c>
      <c r="B23" s="43"/>
      <c r="C23" s="134" t="s">
        <v>120</v>
      </c>
      <c r="D23" s="55"/>
      <c r="E23" s="55"/>
      <c r="F23" s="61">
        <v>0</v>
      </c>
      <c r="G23" s="46"/>
      <c r="H23" s="54" t="s">
        <v>56</v>
      </c>
      <c r="I23" s="102">
        <v>0</v>
      </c>
      <c r="J23" s="56"/>
      <c r="K23" s="55"/>
      <c r="L23" s="107"/>
      <c r="M23" s="98"/>
      <c r="N23" s="98"/>
      <c r="O23" s="38"/>
      <c r="P23" s="37"/>
      <c r="Q23" s="24"/>
    </row>
    <row r="24" spans="1:17" x14ac:dyDescent="0.25">
      <c r="A24" s="67">
        <v>0.1</v>
      </c>
      <c r="B24" s="37"/>
      <c r="C24" s="38" t="s">
        <v>47</v>
      </c>
      <c r="D24" s="114">
        <v>86844.619232177472</v>
      </c>
      <c r="E24" s="114">
        <v>44956.569458007652</v>
      </c>
      <c r="F24" s="62">
        <f>D24+E24</f>
        <v>131801.18869018514</v>
      </c>
      <c r="G24" s="48"/>
      <c r="H24" s="47">
        <f>$F$10-F24</f>
        <v>58245.791733026505</v>
      </c>
      <c r="I24" s="49">
        <f>+F25*(A24-A25) -( 0.5*(F25-F24)*(A24-A25))</f>
        <v>21601.542864990195</v>
      </c>
      <c r="J24" s="50"/>
      <c r="K24" s="49">
        <f>+I$10-I24</f>
        <v>5391.0839238071276</v>
      </c>
      <c r="L24" s="104">
        <f>+K24/($N$6*$B$28)</f>
        <v>5.1228243271183027</v>
      </c>
      <c r="M24" s="65"/>
      <c r="N24" s="65"/>
      <c r="O24" s="39"/>
      <c r="P24" s="37"/>
      <c r="Q24" s="39"/>
    </row>
    <row r="25" spans="1:17" x14ac:dyDescent="0.25">
      <c r="A25" s="67">
        <v>0.02</v>
      </c>
      <c r="B25" s="37"/>
      <c r="C25" s="22" t="s">
        <v>48</v>
      </c>
      <c r="D25" s="114">
        <v>282337.13195800735</v>
      </c>
      <c r="E25" s="114">
        <v>125900.25097656238</v>
      </c>
      <c r="F25" s="62">
        <f t="shared" ref="F25:F27" si="4">D25+E25</f>
        <v>408237.38293456973</v>
      </c>
      <c r="G25" s="48"/>
      <c r="H25" s="47">
        <f>$F$11-F25</f>
        <v>76531.306362151634</v>
      </c>
      <c r="I25" s="49">
        <f>+F26*(A25-A26) -( 0.5*(F26-F25)*(A25-A26))</f>
        <v>5488.9366926574648</v>
      </c>
      <c r="J25" s="50"/>
      <c r="K25" s="49">
        <f>+I$11-I25</f>
        <v>1521.231033277505</v>
      </c>
      <c r="L25" s="104">
        <f t="shared" ref="L25:L26" si="5">+K25/($N$6*$B$28)</f>
        <v>1.4455347856907372</v>
      </c>
      <c r="M25" s="65"/>
      <c r="N25" s="65"/>
      <c r="O25" s="39"/>
      <c r="P25" s="37"/>
      <c r="Q25" s="39"/>
    </row>
    <row r="26" spans="1:17" x14ac:dyDescent="0.25">
      <c r="A26" s="67">
        <v>0.01</v>
      </c>
      <c r="B26" s="37"/>
      <c r="C26" s="22" t="s">
        <v>49</v>
      </c>
      <c r="D26" s="114">
        <v>485279.1526489252</v>
      </c>
      <c r="E26" s="114">
        <v>204270.80294799787</v>
      </c>
      <c r="F26" s="62">
        <f t="shared" si="4"/>
        <v>689549.95559692313</v>
      </c>
      <c r="G26" s="48"/>
      <c r="H26" s="47">
        <f>$F$12-F26</f>
        <v>227714.90029334964</v>
      </c>
      <c r="I26" s="49">
        <f>+F27*(A26-A27) -( 0.5*(F27-F26)*(A26-A27))</f>
        <v>7255.1537841796799</v>
      </c>
      <c r="J26" s="50"/>
      <c r="K26" s="49">
        <f>+I$12-I26</f>
        <v>2388.6785799941972</v>
      </c>
      <c r="L26" s="104">
        <f t="shared" si="5"/>
        <v>2.269818261448838</v>
      </c>
      <c r="M26" s="65"/>
      <c r="N26" s="65"/>
      <c r="O26" s="39"/>
      <c r="P26" s="37"/>
      <c r="Q26" s="39"/>
    </row>
    <row r="27" spans="1:17" ht="15.75" thickBot="1" x14ac:dyDescent="0.3">
      <c r="A27" s="67">
        <v>2E-3</v>
      </c>
      <c r="B27" s="37"/>
      <c r="C27" s="22" t="s">
        <v>50</v>
      </c>
      <c r="D27" s="114">
        <v>741441.5837097161</v>
      </c>
      <c r="E27" s="114">
        <v>382796.90673828078</v>
      </c>
      <c r="F27" s="62">
        <f t="shared" si="4"/>
        <v>1124238.4904479969</v>
      </c>
      <c r="G27" s="48"/>
      <c r="H27" s="47">
        <f>$F$13-F27</f>
        <v>369454.74470519973</v>
      </c>
      <c r="I27" s="124">
        <f>A27*F27</f>
        <v>2248.4769808959936</v>
      </c>
      <c r="J27" s="51"/>
      <c r="K27" s="48"/>
      <c r="L27" s="105"/>
      <c r="M27" s="97"/>
      <c r="N27" s="97"/>
      <c r="O27" s="39"/>
      <c r="P27" s="37"/>
      <c r="Q27" s="39"/>
    </row>
    <row r="28" spans="1:17" ht="15.75" thickBot="1" x14ac:dyDescent="0.3">
      <c r="A28" s="67"/>
      <c r="B28" s="37">
        <v>0.25</v>
      </c>
      <c r="C28" s="38"/>
      <c r="D28" s="128"/>
      <c r="E28" s="128"/>
      <c r="F28" s="63"/>
      <c r="G28" s="48"/>
      <c r="H28" s="48"/>
      <c r="I28" s="48"/>
      <c r="J28" s="51">
        <f>SUM(I23:I27)</f>
        <v>36594.11032272334</v>
      </c>
      <c r="K28" s="48">
        <f>+J$14-J28</f>
        <v>10039.903026489221</v>
      </c>
      <c r="L28" s="111">
        <f>+K28/($N$6*B28)</f>
        <v>9.5403188288128966</v>
      </c>
      <c r="M28" s="169">
        <f>+$N$6*B28</f>
        <v>1052.36556625</v>
      </c>
      <c r="N28" s="97"/>
    </row>
    <row r="29" spans="1:17" x14ac:dyDescent="0.25">
      <c r="A29" s="76"/>
      <c r="B29" s="44"/>
      <c r="C29" s="12"/>
      <c r="D29" s="52"/>
      <c r="E29" s="52"/>
      <c r="F29" s="64"/>
      <c r="G29" s="52"/>
      <c r="H29" s="52"/>
      <c r="I29" s="52"/>
      <c r="J29" s="53"/>
      <c r="K29" s="52"/>
      <c r="L29" s="106"/>
      <c r="M29" s="97"/>
      <c r="N29" s="97"/>
    </row>
    <row r="30" spans="1:17" ht="15.75" thickBot="1" x14ac:dyDescent="0.3">
      <c r="A30" s="77">
        <v>1</v>
      </c>
      <c r="B30" s="43"/>
      <c r="C30" s="134" t="s">
        <v>121</v>
      </c>
      <c r="D30" s="55"/>
      <c r="E30" s="55"/>
      <c r="F30" s="61">
        <v>0</v>
      </c>
      <c r="G30" s="46"/>
      <c r="H30" s="54" t="s">
        <v>56</v>
      </c>
      <c r="I30" s="102">
        <v>0</v>
      </c>
      <c r="J30" s="57"/>
      <c r="K30" s="46"/>
      <c r="L30" s="108"/>
      <c r="M30" s="97"/>
      <c r="N30" s="97"/>
    </row>
    <row r="31" spans="1:17" x14ac:dyDescent="0.25">
      <c r="A31" s="67">
        <v>0.1</v>
      </c>
      <c r="B31" s="37"/>
      <c r="C31" s="38" t="s">
        <v>47</v>
      </c>
      <c r="D31" s="114">
        <v>78607.994262695196</v>
      </c>
      <c r="E31" s="114">
        <v>40678.271781921358</v>
      </c>
      <c r="F31" s="62">
        <f>D31+E31</f>
        <v>119286.26604461655</v>
      </c>
      <c r="G31" s="48"/>
      <c r="H31" s="47">
        <f>$F$10-F31</f>
        <v>70760.71437859509</v>
      </c>
      <c r="I31" s="49">
        <f t="shared" ref="I31:I32" si="6">+F32*(A31-A32) -( 0.5*(F32-F31)*(A31-A32))</f>
        <v>18141.05344879147</v>
      </c>
      <c r="J31" s="50"/>
      <c r="K31" s="49">
        <f>+I$10-I31</f>
        <v>8851.5733400058525</v>
      </c>
      <c r="L31" s="104">
        <f>+K31/($N$6*$B$35)</f>
        <v>4.2055601322777756</v>
      </c>
      <c r="M31" s="65"/>
      <c r="N31" s="65"/>
    </row>
    <row r="32" spans="1:17" x14ac:dyDescent="0.25">
      <c r="A32" s="67">
        <v>0.02</v>
      </c>
      <c r="B32" s="37"/>
      <c r="C32" s="22" t="s">
        <v>48</v>
      </c>
      <c r="D32" s="114">
        <v>227761.75904846156</v>
      </c>
      <c r="E32" s="114">
        <v>106478.31112670861</v>
      </c>
      <c r="F32" s="62">
        <f t="shared" ref="F32:F34" si="7">D32+E32</f>
        <v>334240.0701751702</v>
      </c>
      <c r="G32" s="48"/>
      <c r="H32" s="47">
        <f>$F$11-F32</f>
        <v>150528.61912155116</v>
      </c>
      <c r="I32" s="49">
        <f t="shared" si="6"/>
        <v>4769.5141416168153</v>
      </c>
      <c r="J32" s="50"/>
      <c r="K32" s="49">
        <f>+I$11-I32</f>
        <v>2240.6535843181546</v>
      </c>
      <c r="L32" s="104">
        <f t="shared" ref="L32:L33" si="8">+K32/($N$6*$B$35)</f>
        <v>1.0645794846283789</v>
      </c>
      <c r="M32" s="65"/>
      <c r="N32" s="65"/>
    </row>
    <row r="33" spans="1:14" x14ac:dyDescent="0.25">
      <c r="A33" s="67">
        <v>0.01</v>
      </c>
      <c r="B33" s="37"/>
      <c r="C33" s="22" t="s">
        <v>49</v>
      </c>
      <c r="D33" s="114">
        <v>438388.07563781703</v>
      </c>
      <c r="E33" s="114">
        <v>181274.6825103758</v>
      </c>
      <c r="F33" s="62">
        <f t="shared" si="7"/>
        <v>619662.75814819289</v>
      </c>
      <c r="G33" s="48"/>
      <c r="H33" s="47">
        <f>$F$12-F33</f>
        <v>297602.09774207987</v>
      </c>
      <c r="I33" s="49">
        <f>+F34*(A33-A34) -( 0.5*(F34-F33)*(A33-A34))</f>
        <v>5982.2029406127876</v>
      </c>
      <c r="J33" s="50"/>
      <c r="K33" s="49">
        <f>+I$12-I33</f>
        <v>3661.6294235610894</v>
      </c>
      <c r="L33" s="104">
        <f t="shared" si="8"/>
        <v>1.7397136228092969</v>
      </c>
      <c r="M33" s="65"/>
      <c r="N33" s="65"/>
    </row>
    <row r="34" spans="1:14" ht="15.75" thickBot="1" x14ac:dyDescent="0.3">
      <c r="A34" s="67">
        <v>2E-3</v>
      </c>
      <c r="B34" s="37"/>
      <c r="C34" s="22" t="s">
        <v>50</v>
      </c>
      <c r="D34" s="114">
        <v>593609.87425231864</v>
      </c>
      <c r="E34" s="114">
        <v>282278.10275268526</v>
      </c>
      <c r="F34" s="62">
        <f t="shared" si="7"/>
        <v>875887.97700500395</v>
      </c>
      <c r="G34" s="48"/>
      <c r="H34" s="47">
        <f>$F$13-F34</f>
        <v>617805.25814819266</v>
      </c>
      <c r="I34" s="124">
        <f>A34*F34</f>
        <v>1751.775954010008</v>
      </c>
      <c r="J34" s="51"/>
      <c r="K34" s="48"/>
      <c r="L34" s="105"/>
      <c r="M34" s="97"/>
      <c r="N34" s="97"/>
    </row>
    <row r="35" spans="1:14" ht="15.75" thickBot="1" x14ac:dyDescent="0.3">
      <c r="A35" s="67"/>
      <c r="B35" s="37">
        <v>0.5</v>
      </c>
      <c r="C35" s="38"/>
      <c r="D35" s="128"/>
      <c r="E35" s="128"/>
      <c r="F35" s="63"/>
      <c r="G35" s="48"/>
      <c r="H35" s="48"/>
      <c r="I35" s="48"/>
      <c r="J35" s="51">
        <f>SUM(I30:I34)</f>
        <v>30644.546485031082</v>
      </c>
      <c r="K35" s="48">
        <f>+J$14-J35</f>
        <v>15989.466864181479</v>
      </c>
      <c r="L35" s="111">
        <f>+K35/($N$6*B35)</f>
        <v>7.5969165929470464</v>
      </c>
      <c r="M35" s="169">
        <f>+$N$6*B35</f>
        <v>2104.7311325000001</v>
      </c>
      <c r="N35" s="97"/>
    </row>
    <row r="36" spans="1:14" x14ac:dyDescent="0.25">
      <c r="A36" s="76"/>
      <c r="B36" s="44"/>
      <c r="C36" s="12"/>
      <c r="D36" s="52"/>
      <c r="E36" s="52"/>
      <c r="F36" s="64"/>
      <c r="G36" s="52"/>
      <c r="H36" s="52"/>
      <c r="I36" s="52"/>
      <c r="J36" s="53"/>
      <c r="K36" s="52"/>
      <c r="L36" s="106"/>
      <c r="M36" s="97"/>
      <c r="N36" s="97"/>
    </row>
    <row r="37" spans="1:14" ht="15.75" thickBot="1" x14ac:dyDescent="0.3">
      <c r="A37" s="77">
        <v>1</v>
      </c>
      <c r="B37" s="43"/>
      <c r="C37" s="134" t="s">
        <v>122</v>
      </c>
      <c r="D37" s="55"/>
      <c r="E37" s="55"/>
      <c r="F37" s="61">
        <v>0</v>
      </c>
      <c r="G37" s="46"/>
      <c r="H37" s="54" t="s">
        <v>56</v>
      </c>
      <c r="I37" s="102">
        <v>0</v>
      </c>
      <c r="J37" s="57"/>
      <c r="K37" s="46"/>
      <c r="L37" s="108"/>
      <c r="M37" s="97"/>
      <c r="N37" s="97"/>
    </row>
    <row r="38" spans="1:14" x14ac:dyDescent="0.25">
      <c r="A38" s="67">
        <v>0.1</v>
      </c>
      <c r="B38" s="37"/>
      <c r="C38" s="38" t="s">
        <v>47</v>
      </c>
      <c r="D38" s="114">
        <v>57007.815872192317</v>
      </c>
      <c r="E38" s="114">
        <v>30452.085510253892</v>
      </c>
      <c r="F38" s="62">
        <f>D38+E38</f>
        <v>87459.901382446202</v>
      </c>
      <c r="G38" s="48"/>
      <c r="H38" s="47">
        <f>$F$10-F38</f>
        <v>102587.07904076544</v>
      </c>
      <c r="I38" s="49">
        <f t="shared" ref="I38:I39" si="9">+F39*(A38-A39) -( 0.5*(F39-F38)*(A38-A39))</f>
        <v>14767.037193298318</v>
      </c>
      <c r="J38" s="50"/>
      <c r="K38" s="49">
        <f>+I$10-I38</f>
        <v>12225.589595499005</v>
      </c>
      <c r="L38" s="104">
        <f>+K38/($N$6*$B$42)</f>
        <v>3.8724153113015269</v>
      </c>
      <c r="M38" s="65"/>
      <c r="N38" s="65"/>
    </row>
    <row r="39" spans="1:14" x14ac:dyDescent="0.25">
      <c r="A39" s="67">
        <v>0.02</v>
      </c>
      <c r="B39" s="37"/>
      <c r="C39" s="22" t="s">
        <v>48</v>
      </c>
      <c r="D39" s="114">
        <v>190874.56543731655</v>
      </c>
      <c r="E39" s="114">
        <v>90841.463012695167</v>
      </c>
      <c r="F39" s="62">
        <f t="shared" ref="F39:F41" si="10">D39+E39</f>
        <v>281716.02845001174</v>
      </c>
      <c r="G39" s="48"/>
      <c r="H39" s="47">
        <f>$F$11-F39</f>
        <v>203052.66084670962</v>
      </c>
      <c r="I39" s="49">
        <f t="shared" si="9"/>
        <v>4125.5432693099929</v>
      </c>
      <c r="J39" s="50"/>
      <c r="K39" s="49">
        <f>+I$11-I39</f>
        <v>2884.624456624977</v>
      </c>
      <c r="L39" s="104">
        <f t="shared" ref="L39:L40" si="11">+K39/($N$6*$B$42)</f>
        <v>0.91369531309164398</v>
      </c>
      <c r="M39" s="65"/>
      <c r="N39" s="65"/>
    </row>
    <row r="40" spans="1:14" x14ac:dyDescent="0.25">
      <c r="A40" s="67">
        <v>0.01</v>
      </c>
      <c r="B40" s="37"/>
      <c r="C40" s="22" t="s">
        <v>49</v>
      </c>
      <c r="D40" s="114">
        <v>382936.47599792446</v>
      </c>
      <c r="E40" s="114">
        <v>160456.14941406224</v>
      </c>
      <c r="F40" s="62">
        <f t="shared" si="10"/>
        <v>543392.62541198672</v>
      </c>
      <c r="G40" s="48"/>
      <c r="H40" s="47">
        <f>$F$12-F40</f>
        <v>373872.23047828604</v>
      </c>
      <c r="I40" s="49">
        <f>+F41*(A40-A41) -( 0.5*(F41-F40)*(A40-A41))</f>
        <v>5229.369976501459</v>
      </c>
      <c r="J40" s="50"/>
      <c r="K40" s="49">
        <f>+I$12-I40</f>
        <v>4414.4623876724181</v>
      </c>
      <c r="L40" s="104">
        <f t="shared" si="11"/>
        <v>1.3982664482276552</v>
      </c>
      <c r="M40" s="65"/>
      <c r="N40" s="65"/>
    </row>
    <row r="41" spans="1:14" ht="15.75" thickBot="1" x14ac:dyDescent="0.3">
      <c r="A41" s="67">
        <v>2E-3</v>
      </c>
      <c r="B41" s="37"/>
      <c r="C41" s="22" t="s">
        <v>50</v>
      </c>
      <c r="D41" s="114">
        <v>530288.79273223819</v>
      </c>
      <c r="E41" s="114">
        <v>233661.07598113967</v>
      </c>
      <c r="F41" s="62">
        <f t="shared" si="10"/>
        <v>763949.86871337786</v>
      </c>
      <c r="G41" s="48"/>
      <c r="H41" s="47">
        <f>$F$13-F41</f>
        <v>729743.36643981875</v>
      </c>
      <c r="I41" s="124">
        <f>A41*F41</f>
        <v>1527.8997374267558</v>
      </c>
      <c r="J41" s="51"/>
      <c r="K41" s="48"/>
      <c r="L41" s="105"/>
      <c r="M41" s="97"/>
      <c r="N41" s="97"/>
    </row>
    <row r="42" spans="1:14" ht="15.75" thickBot="1" x14ac:dyDescent="0.3">
      <c r="A42" s="67"/>
      <c r="B42" s="37">
        <v>0.75</v>
      </c>
      <c r="C42" s="38"/>
      <c r="D42" s="128"/>
      <c r="E42" s="128"/>
      <c r="F42" s="63"/>
      <c r="G42" s="48"/>
      <c r="H42" s="48"/>
      <c r="I42" s="48"/>
      <c r="J42" s="51">
        <f>SUM(I37:I41)</f>
        <v>25649.850176536529</v>
      </c>
      <c r="K42" s="48">
        <f>+J$14-J42</f>
        <v>20984.163172676032</v>
      </c>
      <c r="L42" s="111">
        <f>+K42/($N$6*B42)</f>
        <v>6.6466646970250745</v>
      </c>
      <c r="M42" s="169">
        <f>+$N$6*B42</f>
        <v>3157.0966987500001</v>
      </c>
      <c r="N42" s="97"/>
    </row>
    <row r="43" spans="1:14" x14ac:dyDescent="0.25">
      <c r="A43" s="76"/>
      <c r="B43" s="44"/>
      <c r="C43" s="12"/>
      <c r="D43" s="52"/>
      <c r="E43" s="52"/>
      <c r="F43" s="64"/>
      <c r="G43" s="52"/>
      <c r="H43" s="52"/>
      <c r="I43" s="52"/>
      <c r="J43" s="53"/>
      <c r="K43" s="52"/>
      <c r="L43" s="106"/>
      <c r="M43" s="97"/>
      <c r="N43" s="97"/>
    </row>
    <row r="44" spans="1:14" ht="15.75" thickBot="1" x14ac:dyDescent="0.3">
      <c r="A44" s="77">
        <v>1</v>
      </c>
      <c r="B44" s="43"/>
      <c r="C44" s="134" t="s">
        <v>123</v>
      </c>
      <c r="D44" s="55"/>
      <c r="E44" s="55"/>
      <c r="F44" s="61">
        <v>0</v>
      </c>
      <c r="G44" s="46"/>
      <c r="H44" s="54" t="s">
        <v>56</v>
      </c>
      <c r="I44" s="102">
        <v>0</v>
      </c>
      <c r="J44" s="57"/>
      <c r="K44" s="46"/>
      <c r="L44" s="108"/>
      <c r="M44" s="97"/>
      <c r="N44" s="97"/>
    </row>
    <row r="45" spans="1:14" x14ac:dyDescent="0.25">
      <c r="A45" s="67">
        <v>0.1</v>
      </c>
      <c r="B45" s="37"/>
      <c r="C45" s="38" t="s">
        <v>47</v>
      </c>
      <c r="D45" s="114">
        <v>51551.713897704976</v>
      </c>
      <c r="E45" s="114">
        <v>27070.06176757811</v>
      </c>
      <c r="F45" s="62">
        <f>D45+E45</f>
        <v>78621.775665283087</v>
      </c>
      <c r="G45" s="48"/>
      <c r="H45" s="47">
        <f>$F$10-F45</f>
        <v>111425.20475792856</v>
      </c>
      <c r="I45" s="49">
        <f t="shared" ref="I45" si="12">+F46*(A45-A46) -( 0.5*(F46-F45)*(A45-A46))</f>
        <v>12764.609116516087</v>
      </c>
      <c r="J45" s="50"/>
      <c r="K45" s="49">
        <f>+I$10-I45</f>
        <v>14228.017672281236</v>
      </c>
      <c r="L45" s="104">
        <f>+K45/($N$6*$B$49)</f>
        <v>3.3800083660522455</v>
      </c>
      <c r="M45" s="65"/>
      <c r="N45" s="65"/>
    </row>
    <row r="46" spans="1:14" x14ac:dyDescent="0.25">
      <c r="A46" s="67">
        <v>0.02</v>
      </c>
      <c r="B46" s="37"/>
      <c r="C46" s="22" t="s">
        <v>48</v>
      </c>
      <c r="D46" s="114">
        <v>162524.75513458211</v>
      </c>
      <c r="E46" s="114">
        <v>77968.697113036935</v>
      </c>
      <c r="F46" s="62">
        <f t="shared" ref="F46:F48" si="13">D46+E46</f>
        <v>240493.45224761905</v>
      </c>
      <c r="G46" s="48"/>
      <c r="H46" s="47">
        <f>$F$11-F46</f>
        <v>244275.23704910232</v>
      </c>
      <c r="I46" s="49">
        <f>+F47*(A46-A47) -( 0.5*(F47-F46)*(A46-A47))</f>
        <v>3475.9884148025453</v>
      </c>
      <c r="J46" s="50"/>
      <c r="K46" s="49">
        <f>+I$11-I46</f>
        <v>3534.1793111324246</v>
      </c>
      <c r="L46" s="104">
        <f t="shared" ref="L46:L47" si="14">+K46/($N$6*$B$49)</f>
        <v>0.83957975832631071</v>
      </c>
      <c r="M46" s="65"/>
      <c r="N46" s="65"/>
    </row>
    <row r="47" spans="1:14" x14ac:dyDescent="0.25">
      <c r="A47" s="67">
        <v>0.01</v>
      </c>
      <c r="B47" s="37"/>
      <c r="C47" s="22" t="s">
        <v>49</v>
      </c>
      <c r="D47" s="114">
        <v>316937.3857879634</v>
      </c>
      <c r="E47" s="114">
        <v>137766.84492492652</v>
      </c>
      <c r="F47" s="62">
        <f t="shared" si="13"/>
        <v>454704.23071288993</v>
      </c>
      <c r="G47" s="48"/>
      <c r="H47" s="47">
        <f>$F$12-F47</f>
        <v>462560.62517738284</v>
      </c>
      <c r="I47" s="49">
        <f>+F48*(A47-A48) -( 0.5*(F48-F47)*(A47-A48))</f>
        <v>4471.8137634582454</v>
      </c>
      <c r="J47" s="50"/>
      <c r="K47" s="49">
        <f>+I$12-I47</f>
        <v>5172.0186007156317</v>
      </c>
      <c r="L47" s="104">
        <f t="shared" si="14"/>
        <v>1.2286649161150354</v>
      </c>
      <c r="M47" s="65"/>
      <c r="N47" s="65"/>
    </row>
    <row r="48" spans="1:14" ht="15.75" thickBot="1" x14ac:dyDescent="0.3">
      <c r="A48" s="67">
        <v>2E-3</v>
      </c>
      <c r="B48" s="37"/>
      <c r="C48" s="22" t="s">
        <v>50</v>
      </c>
      <c r="D48" s="114">
        <v>469251.3928070062</v>
      </c>
      <c r="E48" s="114">
        <v>193997.81734466495</v>
      </c>
      <c r="F48" s="62">
        <f t="shared" si="13"/>
        <v>663249.2101516712</v>
      </c>
      <c r="G48" s="48"/>
      <c r="H48" s="47">
        <f>$F$13-F48</f>
        <v>830444.02500152541</v>
      </c>
      <c r="I48" s="124">
        <f>A48*F48</f>
        <v>1326.4984203033425</v>
      </c>
      <c r="J48" s="51"/>
      <c r="K48" s="48"/>
      <c r="L48" s="105"/>
      <c r="M48" s="97"/>
      <c r="N48" s="97"/>
    </row>
    <row r="49" spans="1:16" ht="15.75" thickBot="1" x14ac:dyDescent="0.3">
      <c r="A49" s="67"/>
      <c r="B49" s="37">
        <v>1</v>
      </c>
      <c r="C49" s="37"/>
      <c r="D49" s="48"/>
      <c r="E49" s="48"/>
      <c r="F49" s="63"/>
      <c r="G49" s="48"/>
      <c r="H49" s="48"/>
      <c r="I49" s="48"/>
      <c r="J49" s="51">
        <f>SUM(I44:I48)</f>
        <v>22038.909715080219</v>
      </c>
      <c r="K49" s="48">
        <f>+J$14-J49</f>
        <v>24595.103634132342</v>
      </c>
      <c r="L49" s="111">
        <f>+K49/($N$6*B49)</f>
        <v>5.8428136625979095</v>
      </c>
      <c r="M49" s="169">
        <f>+$N$6*B49</f>
        <v>4209.4622650000001</v>
      </c>
      <c r="N49" s="97"/>
    </row>
    <row r="50" spans="1:16" ht="15.75" thickBot="1" x14ac:dyDescent="0.3">
      <c r="A50" s="68"/>
      <c r="B50" s="59"/>
      <c r="C50" s="59"/>
      <c r="D50" s="69"/>
      <c r="E50" s="69"/>
      <c r="F50" s="78"/>
      <c r="G50" s="69"/>
      <c r="H50" s="69"/>
      <c r="I50" s="69"/>
      <c r="J50" s="70"/>
      <c r="K50" s="69"/>
      <c r="L50" s="109"/>
      <c r="M50" s="97"/>
      <c r="N50" s="97"/>
    </row>
    <row r="51" spans="1:16" ht="15.75" thickBot="1" x14ac:dyDescent="0.3">
      <c r="A51" s="67"/>
      <c r="B51" s="37"/>
      <c r="C51" s="37"/>
      <c r="D51" s="48"/>
      <c r="E51" s="48"/>
      <c r="F51" s="63"/>
      <c r="G51" s="48"/>
      <c r="H51" s="48"/>
      <c r="I51" s="48"/>
      <c r="J51" s="51"/>
      <c r="K51" s="48"/>
      <c r="L51" s="216" t="s">
        <v>118</v>
      </c>
      <c r="M51" s="219" t="s">
        <v>116</v>
      </c>
      <c r="N51">
        <v>774.667607073</v>
      </c>
    </row>
    <row r="52" spans="1:16" x14ac:dyDescent="0.25">
      <c r="A52" s="147">
        <v>1</v>
      </c>
      <c r="B52" s="148"/>
      <c r="C52" s="149" t="s">
        <v>124</v>
      </c>
      <c r="D52" s="150"/>
      <c r="E52" s="150"/>
      <c r="F52" s="151">
        <v>0</v>
      </c>
      <c r="G52" s="152"/>
      <c r="H52" s="153" t="s">
        <v>56</v>
      </c>
      <c r="I52" s="154">
        <v>0</v>
      </c>
      <c r="J52" s="155"/>
      <c r="K52" s="152"/>
      <c r="L52" s="217"/>
      <c r="M52" s="219"/>
      <c r="P52" s="41"/>
    </row>
    <row r="53" spans="1:16" ht="15.75" thickBot="1" x14ac:dyDescent="0.3">
      <c r="A53" s="156">
        <v>0.1</v>
      </c>
      <c r="B53" s="157"/>
      <c r="C53" s="158" t="s">
        <v>47</v>
      </c>
      <c r="D53" s="159">
        <v>90870.170288085821</v>
      </c>
      <c r="E53" s="159">
        <v>47021.710029602</v>
      </c>
      <c r="F53" s="159">
        <f>D53+E53</f>
        <v>137891.88031768781</v>
      </c>
      <c r="G53" s="160"/>
      <c r="H53" s="159">
        <f>$F$10-F53</f>
        <v>52155.10010552383</v>
      </c>
      <c r="I53" s="161">
        <f>+F54*(A53-A54) -( 0.5*(F54-F53)*(A53-A54))</f>
        <v>24315.732006530714</v>
      </c>
      <c r="J53" s="162"/>
      <c r="K53" s="161"/>
      <c r="L53" s="218"/>
      <c r="M53" s="219"/>
    </row>
    <row r="54" spans="1:16" x14ac:dyDescent="0.25">
      <c r="A54" s="156">
        <v>0.02</v>
      </c>
      <c r="B54" s="157"/>
      <c r="C54" s="163" t="s">
        <v>48</v>
      </c>
      <c r="D54" s="159">
        <v>328017.14021301211</v>
      </c>
      <c r="E54" s="159">
        <v>141984.27963256789</v>
      </c>
      <c r="F54" s="159">
        <f t="shared" ref="F54:F56" si="15">D54+E54</f>
        <v>470001.41984558001</v>
      </c>
      <c r="G54" s="160"/>
      <c r="H54" s="159">
        <f>$F$11-F54</f>
        <v>14767.269451141357</v>
      </c>
      <c r="I54" s="161">
        <f>+F55*(A54-A55) -( 0.5*(F55-F54)*(A54-A55))</f>
        <v>6211.7929931640519</v>
      </c>
      <c r="J54" s="162"/>
      <c r="K54" s="161"/>
      <c r="L54" s="104"/>
    </row>
    <row r="55" spans="1:16" x14ac:dyDescent="0.25">
      <c r="A55" s="156">
        <v>0.01</v>
      </c>
      <c r="B55" s="157"/>
      <c r="C55" s="163" t="s">
        <v>49</v>
      </c>
      <c r="D55" s="159">
        <v>533120.47966003348</v>
      </c>
      <c r="E55" s="159">
        <v>239236.69912719695</v>
      </c>
      <c r="F55" s="159">
        <f t="shared" si="15"/>
        <v>772357.1787872304</v>
      </c>
      <c r="G55" s="160"/>
      <c r="H55" s="159">
        <f>$F$12-F55</f>
        <v>144907.67710304237</v>
      </c>
      <c r="I55" s="161">
        <f>+F56*(A55-A56) -( 0.5*(F56-F55)*(A55-A56))</f>
        <v>8081.6716459350491</v>
      </c>
      <c r="J55" s="162"/>
      <c r="K55" s="161"/>
      <c r="L55" s="104"/>
    </row>
    <row r="56" spans="1:16" x14ac:dyDescent="0.25">
      <c r="A56" s="156">
        <v>2E-3</v>
      </c>
      <c r="B56" s="157"/>
      <c r="C56" s="163" t="s">
        <v>50</v>
      </c>
      <c r="D56" s="159">
        <v>822481.31896972575</v>
      </c>
      <c r="E56" s="159">
        <v>425579.41372680594</v>
      </c>
      <c r="F56" s="159">
        <f t="shared" si="15"/>
        <v>1248060.7326965318</v>
      </c>
      <c r="G56" s="160"/>
      <c r="H56" s="159">
        <f>$F$13-F56</f>
        <v>245632.50245666481</v>
      </c>
      <c r="I56" s="164">
        <f>A56*F56</f>
        <v>2496.1214653930638</v>
      </c>
      <c r="J56" s="165"/>
      <c r="K56" s="160"/>
      <c r="L56" s="105"/>
    </row>
    <row r="57" spans="1:16" x14ac:dyDescent="0.25">
      <c r="A57" s="156"/>
      <c r="B57" s="157">
        <v>1</v>
      </c>
      <c r="C57" s="157"/>
      <c r="D57" s="160"/>
      <c r="E57" s="160"/>
      <c r="F57" s="160"/>
      <c r="G57" s="160"/>
      <c r="H57" s="160"/>
      <c r="I57" s="160"/>
      <c r="J57" s="165">
        <f>SUM(I52:I56)</f>
        <v>41105.318111022883</v>
      </c>
      <c r="K57" s="160">
        <f>+J$14-J57</f>
        <v>5528.6952381896772</v>
      </c>
      <c r="L57" s="105">
        <f>K57/($N$51*1)</f>
        <v>7.1368612650260026</v>
      </c>
      <c r="M57" s="169">
        <f>+$N$51*B57</f>
        <v>774.667607073</v>
      </c>
    </row>
    <row r="58" spans="1:16" ht="15.75" thickBot="1" x14ac:dyDescent="0.3">
      <c r="A58" s="92"/>
      <c r="B58" s="93"/>
      <c r="C58" s="93"/>
      <c r="D58" s="94"/>
      <c r="E58" s="94"/>
      <c r="F58" s="94"/>
      <c r="G58" s="94"/>
      <c r="H58" s="94"/>
      <c r="I58" s="94"/>
      <c r="J58" s="95"/>
      <c r="K58" s="94"/>
      <c r="L58" s="109"/>
    </row>
  </sheetData>
  <mergeCells count="12">
    <mergeCell ref="L51:L53"/>
    <mergeCell ref="M51:M53"/>
    <mergeCell ref="I6:J8"/>
    <mergeCell ref="K6:K8"/>
    <mergeCell ref="L6:L8"/>
    <mergeCell ref="M6:M8"/>
    <mergeCell ref="A7:A8"/>
    <mergeCell ref="A1:F1"/>
    <mergeCell ref="A2:F2"/>
    <mergeCell ref="A3:F3"/>
    <mergeCell ref="A4:F4"/>
    <mergeCell ref="A5:F5"/>
  </mergeCell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D44D4C-DD3B-4349-8CEE-6F85C2898C9A}">
  <sheetPr>
    <tabColor rgb="FF00B0F0"/>
  </sheetPr>
  <dimension ref="A1:Q45"/>
  <sheetViews>
    <sheetView topLeftCell="F1" zoomScale="70" zoomScaleNormal="70" workbookViewId="0">
      <pane ySplit="8" topLeftCell="A9" activePane="bottomLeft" state="frozen"/>
      <selection pane="bottomLeft" activeCell="V44" sqref="V44"/>
    </sheetView>
  </sheetViews>
  <sheetFormatPr defaultRowHeight="15" x14ac:dyDescent="0.25"/>
  <cols>
    <col min="1" max="1" width="7.85546875" style="11" customWidth="1"/>
    <col min="2" max="3" width="7.85546875" customWidth="1"/>
    <col min="4" max="4" width="15.28515625" customWidth="1"/>
    <col min="5" max="6" width="14.7109375" customWidth="1"/>
    <col min="7" max="7" width="11.7109375" customWidth="1"/>
    <col min="8" max="8" width="17" customWidth="1"/>
    <col min="9" max="9" width="9.85546875" customWidth="1"/>
    <col min="10" max="10" width="16.7109375" style="42" customWidth="1"/>
    <col min="11" max="11" width="16.42578125" customWidth="1"/>
    <col min="12" max="12" width="23.5703125" style="110" customWidth="1"/>
    <col min="13" max="14" width="23.5703125" customWidth="1"/>
    <col min="15" max="15" width="12.28515625" customWidth="1"/>
    <col min="17" max="17" width="16.5703125" customWidth="1"/>
  </cols>
  <sheetData>
    <row r="1" spans="1:17" ht="57" customHeight="1" x14ac:dyDescent="0.25">
      <c r="A1" s="223" t="s">
        <v>108</v>
      </c>
      <c r="B1" s="225"/>
      <c r="C1" s="225"/>
      <c r="D1" s="225"/>
    </row>
    <row r="2" spans="1:17" x14ac:dyDescent="0.25">
      <c r="A2" s="125" t="s">
        <v>100</v>
      </c>
      <c r="B2" s="126"/>
      <c r="C2" s="126"/>
      <c r="D2" s="126"/>
    </row>
    <row r="3" spans="1:17" x14ac:dyDescent="0.25">
      <c r="A3" s="125" t="s">
        <v>101</v>
      </c>
      <c r="B3" s="126"/>
      <c r="C3" s="126"/>
      <c r="D3" s="126"/>
    </row>
    <row r="4" spans="1:17" x14ac:dyDescent="0.25">
      <c r="A4" s="125" t="s">
        <v>103</v>
      </c>
      <c r="B4" s="126"/>
      <c r="C4" s="126"/>
      <c r="D4" s="126"/>
    </row>
    <row r="5" spans="1:17" x14ac:dyDescent="0.25">
      <c r="A5" s="125" t="s">
        <v>102</v>
      </c>
      <c r="B5" s="126"/>
      <c r="C5" s="126"/>
      <c r="D5" s="126"/>
    </row>
    <row r="6" spans="1:17" ht="21.75" customHeight="1" x14ac:dyDescent="0.25">
      <c r="A6" s="58"/>
      <c r="B6" s="37"/>
      <c r="C6" s="37"/>
      <c r="D6" s="37"/>
      <c r="E6" s="37"/>
      <c r="F6" s="37"/>
      <c r="G6" s="37"/>
      <c r="H6" s="37"/>
      <c r="I6" s="212" t="s">
        <v>84</v>
      </c>
      <c r="J6" s="212"/>
      <c r="K6" s="212" t="s">
        <v>79</v>
      </c>
      <c r="L6" s="220" t="s">
        <v>80</v>
      </c>
      <c r="M6" s="224" t="s">
        <v>105</v>
      </c>
      <c r="N6">
        <v>4209.4622650000001</v>
      </c>
    </row>
    <row r="7" spans="1:17" ht="15" customHeight="1" x14ac:dyDescent="0.25">
      <c r="A7" s="212" t="s">
        <v>78</v>
      </c>
      <c r="B7" s="37"/>
      <c r="C7" s="37"/>
      <c r="D7" s="37"/>
      <c r="E7" s="37"/>
      <c r="F7" s="37"/>
      <c r="G7" s="37"/>
      <c r="H7" s="37"/>
      <c r="I7" s="212"/>
      <c r="J7" s="212"/>
      <c r="K7" s="212"/>
      <c r="L7" s="220"/>
      <c r="M7" s="224"/>
      <c r="N7" s="129"/>
    </row>
    <row r="8" spans="1:17" ht="15.75" thickBot="1" x14ac:dyDescent="0.3">
      <c r="A8" s="213"/>
      <c r="B8" s="59"/>
      <c r="C8" s="134" t="s">
        <v>53</v>
      </c>
      <c r="D8" s="20" t="s">
        <v>51</v>
      </c>
      <c r="E8" s="20" t="s">
        <v>52</v>
      </c>
      <c r="F8" s="20" t="s">
        <v>55</v>
      </c>
      <c r="G8" s="59"/>
      <c r="H8" s="96"/>
      <c r="I8" s="213"/>
      <c r="J8" s="213"/>
      <c r="K8" s="213"/>
      <c r="L8" s="221"/>
      <c r="M8" s="224"/>
      <c r="N8" s="129"/>
    </row>
    <row r="9" spans="1:17" x14ac:dyDescent="0.25">
      <c r="A9" s="71">
        <v>1</v>
      </c>
      <c r="B9" s="66"/>
      <c r="C9" s="72"/>
      <c r="D9" s="73"/>
      <c r="E9" s="73"/>
      <c r="F9" s="74">
        <v>0</v>
      </c>
      <c r="G9" s="66"/>
      <c r="H9" s="66"/>
      <c r="I9" s="101">
        <v>0</v>
      </c>
      <c r="J9" s="75"/>
      <c r="K9" s="75"/>
      <c r="L9" s="103"/>
      <c r="M9" s="123"/>
      <c r="N9" s="123"/>
    </row>
    <row r="10" spans="1:17" x14ac:dyDescent="0.25">
      <c r="A10" s="67">
        <v>0.1</v>
      </c>
      <c r="B10" s="37"/>
      <c r="C10" s="38" t="s">
        <v>35</v>
      </c>
      <c r="D10" s="135">
        <v>115352.83409881564</v>
      </c>
      <c r="E10" s="135">
        <v>52525.356384277271</v>
      </c>
      <c r="F10" s="136">
        <f>SUM(D10:E10)</f>
        <v>167878.19048309291</v>
      </c>
      <c r="G10" s="48">
        <f>F10*A10</f>
        <v>16787.819048309291</v>
      </c>
      <c r="H10" s="48"/>
      <c r="I10" s="49">
        <f>+F11*(A10-A11) -( 0.5*(F11-F10)*(A10-A11))</f>
        <v>31145.879015808041</v>
      </c>
      <c r="J10" s="50"/>
      <c r="K10" s="49"/>
      <c r="L10" s="104"/>
      <c r="M10" s="65"/>
      <c r="N10" s="65"/>
    </row>
    <row r="11" spans="1:17" x14ac:dyDescent="0.25">
      <c r="A11" s="67">
        <v>0.02</v>
      </c>
      <c r="B11" s="37"/>
      <c r="C11" s="38" t="s">
        <v>36</v>
      </c>
      <c r="D11" s="135">
        <v>421899.10351562442</v>
      </c>
      <c r="E11" s="135">
        <v>188869.68139648376</v>
      </c>
      <c r="F11" s="136">
        <f t="shared" ref="F11:F13" si="0">SUM(D11:E11)</f>
        <v>610768.78491210821</v>
      </c>
      <c r="G11" s="48">
        <f t="shared" ref="G11:G13" si="1">F11*A11</f>
        <v>12215.375698242164</v>
      </c>
      <c r="H11" s="48"/>
      <c r="I11" s="49">
        <f>+F12*(A11-A12) -( 0.5*(F12-F11)*(A11-A12))</f>
        <v>8069.9430330657815</v>
      </c>
      <c r="J11" s="50"/>
      <c r="K11" s="49"/>
      <c r="L11" s="104"/>
      <c r="M11" s="65"/>
      <c r="N11" s="65"/>
    </row>
    <row r="12" spans="1:17" x14ac:dyDescent="0.25">
      <c r="A12" s="67">
        <v>0.01</v>
      </c>
      <c r="B12" s="37"/>
      <c r="C12" s="38" t="s">
        <v>38</v>
      </c>
      <c r="D12" s="135">
        <v>679632.82241821184</v>
      </c>
      <c r="E12" s="135">
        <v>323586.99928283622</v>
      </c>
      <c r="F12" s="136">
        <f t="shared" si="0"/>
        <v>1003219.8217010481</v>
      </c>
      <c r="G12" s="48">
        <f t="shared" si="1"/>
        <v>10032.19821701048</v>
      </c>
      <c r="H12" s="48"/>
      <c r="I12" s="49">
        <f>+F13*(A12-A13) -( 0.5*(F13-F12)*(A12-A13))</f>
        <v>10111.651451019272</v>
      </c>
      <c r="J12" s="50"/>
      <c r="K12" s="49"/>
      <c r="L12" s="104"/>
      <c r="M12" s="65"/>
      <c r="N12" s="65"/>
    </row>
    <row r="13" spans="1:17" x14ac:dyDescent="0.25">
      <c r="A13" s="67">
        <v>2E-3</v>
      </c>
      <c r="B13" s="37"/>
      <c r="C13" s="38" t="s">
        <v>37</v>
      </c>
      <c r="D13" s="114">
        <v>998076.34968566755</v>
      </c>
      <c r="E13" s="114">
        <v>526616.69136810186</v>
      </c>
      <c r="F13" s="62">
        <f t="shared" si="0"/>
        <v>1524693.0410537694</v>
      </c>
      <c r="G13" s="48">
        <f t="shared" si="1"/>
        <v>3049.3860821075391</v>
      </c>
      <c r="H13" s="48"/>
      <c r="I13" s="124">
        <f>A13*F13</f>
        <v>3049.3860821075391</v>
      </c>
      <c r="J13" s="51"/>
      <c r="K13" s="48"/>
      <c r="L13" s="105"/>
      <c r="M13" s="97"/>
      <c r="N13" s="97"/>
    </row>
    <row r="14" spans="1:17" x14ac:dyDescent="0.25">
      <c r="A14" s="67"/>
      <c r="B14" s="37"/>
      <c r="C14" s="37"/>
      <c r="D14" s="128"/>
      <c r="E14" s="128"/>
      <c r="F14" s="63"/>
      <c r="G14" s="48"/>
      <c r="H14" s="48"/>
      <c r="I14" s="48"/>
      <c r="J14" s="51">
        <f>SUM(I9:I13)</f>
        <v>52376.85958200063</v>
      </c>
      <c r="K14" s="48"/>
      <c r="L14" s="105"/>
      <c r="M14" s="97"/>
      <c r="N14" s="97"/>
    </row>
    <row r="15" spans="1:17" x14ac:dyDescent="0.25">
      <c r="A15" s="76"/>
      <c r="B15" s="44"/>
      <c r="C15" s="44"/>
      <c r="D15" s="52"/>
      <c r="E15" s="52"/>
      <c r="F15" s="64"/>
      <c r="G15" s="52"/>
      <c r="H15" s="52"/>
      <c r="I15" s="52"/>
      <c r="J15" s="53"/>
      <c r="K15" s="52"/>
      <c r="L15" s="106"/>
      <c r="M15" s="97"/>
      <c r="N15" s="97"/>
    </row>
    <row r="16" spans="1:17" x14ac:dyDescent="0.25">
      <c r="A16" s="77">
        <v>1</v>
      </c>
      <c r="B16" s="43"/>
      <c r="C16" s="137" t="s">
        <v>125</v>
      </c>
      <c r="D16" s="55"/>
      <c r="E16" s="55"/>
      <c r="F16" s="61"/>
      <c r="G16" s="46"/>
      <c r="H16" s="54" t="s">
        <v>56</v>
      </c>
      <c r="I16" s="102">
        <v>0</v>
      </c>
      <c r="J16" s="56"/>
      <c r="K16" s="55"/>
      <c r="L16" s="107"/>
      <c r="M16" s="98"/>
      <c r="N16" s="98"/>
      <c r="O16" s="38"/>
      <c r="P16" s="37"/>
      <c r="Q16" s="24"/>
    </row>
    <row r="17" spans="1:17" x14ac:dyDescent="0.25">
      <c r="A17" s="67">
        <v>0.1</v>
      </c>
      <c r="B17" s="37"/>
      <c r="C17" s="38" t="s">
        <v>47</v>
      </c>
      <c r="D17" s="133">
        <v>115352.83409881564</v>
      </c>
      <c r="E17" s="133">
        <v>52525.356384277271</v>
      </c>
      <c r="F17" s="62">
        <f>SUM(D17:E17)</f>
        <v>167878.19048309291</v>
      </c>
      <c r="G17" s="48"/>
      <c r="H17" s="47">
        <f>$F$10-F17</f>
        <v>0</v>
      </c>
      <c r="I17" s="49">
        <f>+F18*(A17-A18) -( 0.5*(F18-F17)*(A17-A18))</f>
        <v>31145.879015808041</v>
      </c>
      <c r="J17" s="50"/>
      <c r="K17" s="49">
        <f>+I$10-I17</f>
        <v>0</v>
      </c>
      <c r="L17" s="104">
        <f>+K17/(3321.99*B21)</f>
        <v>0</v>
      </c>
      <c r="M17" s="65"/>
      <c r="N17" s="65"/>
      <c r="O17" s="39"/>
      <c r="P17" s="37"/>
      <c r="Q17" s="39"/>
    </row>
    <row r="18" spans="1:17" x14ac:dyDescent="0.25">
      <c r="A18" s="67">
        <v>0.02</v>
      </c>
      <c r="B18" s="37"/>
      <c r="C18" s="22" t="s">
        <v>48</v>
      </c>
      <c r="D18" s="133">
        <v>421899.10351562442</v>
      </c>
      <c r="E18" s="133">
        <v>188869.68139648376</v>
      </c>
      <c r="F18" s="62">
        <f t="shared" ref="F18:F20" si="2">SUM(D18:E18)</f>
        <v>610768.78491210821</v>
      </c>
      <c r="G18" s="48"/>
      <c r="H18" s="47">
        <f>$F$11-F18</f>
        <v>0</v>
      </c>
      <c r="I18" s="49">
        <f>+F19*(A18-A19) -( 0.5*(F19-F18)*(A18-A19))</f>
        <v>8069.9430330657815</v>
      </c>
      <c r="J18" s="50"/>
      <c r="K18" s="49">
        <f>+I$11-I18</f>
        <v>0</v>
      </c>
      <c r="L18" s="104">
        <f>+K18/(3321.99*B21)</f>
        <v>0</v>
      </c>
      <c r="M18" s="65"/>
      <c r="N18" s="65"/>
      <c r="O18" s="39"/>
      <c r="P18" s="37"/>
      <c r="Q18" s="39"/>
    </row>
    <row r="19" spans="1:17" x14ac:dyDescent="0.25">
      <c r="A19" s="67">
        <v>0.01</v>
      </c>
      <c r="B19" s="37"/>
      <c r="C19" s="22" t="s">
        <v>49</v>
      </c>
      <c r="D19" s="133">
        <v>679632.82241821184</v>
      </c>
      <c r="E19" s="133">
        <v>323586.99928283622</v>
      </c>
      <c r="F19" s="62">
        <f t="shared" si="2"/>
        <v>1003219.8217010481</v>
      </c>
      <c r="G19" s="48"/>
      <c r="H19" s="47">
        <f>$F$12-F19</f>
        <v>0</v>
      </c>
      <c r="I19" s="49">
        <f>+F20*(A19-A20) -( 0.5*(F20-F19)*(A19-A20))</f>
        <v>10111.651451019272</v>
      </c>
      <c r="J19" s="50"/>
      <c r="K19" s="49">
        <f>+I$12-I19</f>
        <v>0</v>
      </c>
      <c r="L19" s="104">
        <f>+K19/(3321.99*B21)</f>
        <v>0</v>
      </c>
      <c r="M19" s="65"/>
      <c r="N19" s="65"/>
      <c r="O19" s="39"/>
      <c r="P19" s="37"/>
      <c r="Q19" s="39"/>
    </row>
    <row r="20" spans="1:17" ht="15.75" thickBot="1" x14ac:dyDescent="0.3">
      <c r="A20" s="67">
        <v>2E-3</v>
      </c>
      <c r="B20" s="37"/>
      <c r="C20" s="22" t="s">
        <v>50</v>
      </c>
      <c r="D20" s="138">
        <v>998076.34968566755</v>
      </c>
      <c r="E20" s="138">
        <v>526616.69136810186</v>
      </c>
      <c r="F20" s="62">
        <f t="shared" si="2"/>
        <v>1524693.0410537694</v>
      </c>
      <c r="G20" s="48"/>
      <c r="H20" s="47">
        <f>$F$13-F20</f>
        <v>0</v>
      </c>
      <c r="I20" s="124">
        <f>A20*F20</f>
        <v>3049.3860821075391</v>
      </c>
      <c r="J20" s="51"/>
      <c r="K20" s="48"/>
      <c r="L20" s="105"/>
      <c r="M20" s="97"/>
      <c r="N20" s="97"/>
      <c r="O20" s="39"/>
      <c r="P20" s="37"/>
      <c r="Q20" s="39"/>
    </row>
    <row r="21" spans="1:17" ht="15.75" thickBot="1" x14ac:dyDescent="0.3">
      <c r="A21" s="67"/>
      <c r="B21" s="37">
        <v>0.25</v>
      </c>
      <c r="C21" s="38"/>
      <c r="D21" s="128"/>
      <c r="E21" s="128"/>
      <c r="F21" s="63"/>
      <c r="G21" s="48"/>
      <c r="H21" s="48"/>
      <c r="I21" s="48"/>
      <c r="J21" s="51">
        <f>SUM(I16:I20)</f>
        <v>52376.85958200063</v>
      </c>
      <c r="K21" s="48">
        <f>+J$14-J21</f>
        <v>0</v>
      </c>
      <c r="L21" s="111">
        <f>+K21/($N$6*B21)</f>
        <v>0</v>
      </c>
      <c r="M21" s="97"/>
      <c r="N21" s="97"/>
    </row>
    <row r="22" spans="1:17" x14ac:dyDescent="0.25">
      <c r="A22" s="76"/>
      <c r="B22" s="44"/>
      <c r="C22" s="12"/>
      <c r="D22" s="52"/>
      <c r="E22" s="52"/>
      <c r="F22" s="64"/>
      <c r="G22" s="52"/>
      <c r="H22" s="52"/>
      <c r="I22" s="52"/>
      <c r="J22" s="53"/>
      <c r="K22" s="52"/>
      <c r="L22" s="106"/>
      <c r="M22" s="97"/>
      <c r="N22" s="97"/>
    </row>
    <row r="23" spans="1:17" x14ac:dyDescent="0.25">
      <c r="A23" s="77">
        <v>1</v>
      </c>
      <c r="B23" s="43"/>
      <c r="C23" s="137" t="s">
        <v>126</v>
      </c>
      <c r="D23" s="55"/>
      <c r="E23" s="55"/>
      <c r="F23" s="61"/>
      <c r="G23" s="46"/>
      <c r="H23" s="54" t="s">
        <v>56</v>
      </c>
      <c r="I23" s="102">
        <v>0</v>
      </c>
      <c r="J23" s="57"/>
      <c r="K23" s="46"/>
      <c r="L23" s="108"/>
      <c r="M23" s="97"/>
      <c r="N23" s="97"/>
    </row>
    <row r="24" spans="1:17" x14ac:dyDescent="0.25">
      <c r="A24" s="67">
        <v>0.1</v>
      </c>
      <c r="B24" s="37"/>
      <c r="C24" s="38" t="s">
        <v>47</v>
      </c>
      <c r="D24" s="114">
        <v>73577.650375366124</v>
      </c>
      <c r="E24" s="114">
        <v>33281.809646606336</v>
      </c>
      <c r="F24" s="62">
        <f>SUM(D24:E24)</f>
        <v>106859.46002197245</v>
      </c>
      <c r="G24" s="48"/>
      <c r="H24" s="47">
        <f>$F$10-F24</f>
        <v>61018.73046112046</v>
      </c>
      <c r="I24" s="49">
        <f t="shared" ref="I24:I25" si="3">+F25*(A24-A25) -( 0.5*(F25-F24)*(A24-A25))</f>
        <v>28224.30417846674</v>
      </c>
      <c r="J24" s="50"/>
      <c r="K24" s="49">
        <f>+I$10-I24</f>
        <v>2921.5748373413007</v>
      </c>
      <c r="L24" s="104">
        <f>+K24/(3321.99*B28)</f>
        <v>1.7589305430427551</v>
      </c>
      <c r="M24" s="65"/>
      <c r="N24" s="65"/>
    </row>
    <row r="25" spans="1:17" x14ac:dyDescent="0.25">
      <c r="A25" s="67">
        <v>0.02</v>
      </c>
      <c r="B25" s="37"/>
      <c r="C25" s="22" t="s">
        <v>48</v>
      </c>
      <c r="D25" s="114">
        <v>412679.82098388596</v>
      </c>
      <c r="E25" s="114">
        <v>186068.32345581011</v>
      </c>
      <c r="F25" s="62">
        <f t="shared" ref="F25:F27" si="4">SUM(D25:E25)</f>
        <v>598748.1444396961</v>
      </c>
      <c r="G25" s="48"/>
      <c r="H25" s="47">
        <f>$F$11-F25</f>
        <v>12020.640472412109</v>
      </c>
      <c r="I25" s="49">
        <f t="shared" si="3"/>
        <v>7981.2074096679571</v>
      </c>
      <c r="J25" s="50"/>
      <c r="K25" s="49">
        <f>+I$11-I25</f>
        <v>88.735623397824384</v>
      </c>
      <c r="L25" s="104">
        <f>+K25/(3321.99*B28)</f>
        <v>5.3423173096742847E-2</v>
      </c>
      <c r="M25" s="65"/>
      <c r="N25" s="65"/>
    </row>
    <row r="26" spans="1:17" x14ac:dyDescent="0.25">
      <c r="A26" s="67">
        <v>0.01</v>
      </c>
      <c r="B26" s="37"/>
      <c r="C26" s="22" t="s">
        <v>49</v>
      </c>
      <c r="D26" s="114">
        <v>676006.96743774356</v>
      </c>
      <c r="E26" s="114">
        <v>321486.37005615182</v>
      </c>
      <c r="F26" s="62">
        <f t="shared" si="4"/>
        <v>997493.33749389532</v>
      </c>
      <c r="G26" s="48"/>
      <c r="H26" s="47">
        <f>$F$12-F26</f>
        <v>5726.4842071527382</v>
      </c>
      <c r="I26" s="49">
        <f>+F27*(A26-A27) -( 0.5*(F27-F26)*(A26-A27))</f>
        <v>10088.745514190659</v>
      </c>
      <c r="J26" s="50"/>
      <c r="K26" s="49">
        <f>+I$12-I26</f>
        <v>22.905936828612539</v>
      </c>
      <c r="L26" s="104">
        <f>+K26/(3321.99*B28)</f>
        <v>1.3790491138511881E-2</v>
      </c>
      <c r="M26" s="65"/>
      <c r="N26" s="65"/>
    </row>
    <row r="27" spans="1:17" ht="15.75" thickBot="1" x14ac:dyDescent="0.3">
      <c r="A27" s="67">
        <v>2E-3</v>
      </c>
      <c r="B27" s="37"/>
      <c r="C27" s="22" t="s">
        <v>50</v>
      </c>
      <c r="D27" s="138">
        <v>998076.34968566755</v>
      </c>
      <c r="E27" s="138">
        <v>526616.69136810186</v>
      </c>
      <c r="F27" s="62">
        <f t="shared" si="4"/>
        <v>1524693.0410537694</v>
      </c>
      <c r="G27" s="48"/>
      <c r="H27" s="47">
        <f>$F$13-F27</f>
        <v>0</v>
      </c>
      <c r="I27" s="124">
        <f>A27*F27</f>
        <v>3049.3860821075391</v>
      </c>
      <c r="J27" s="51"/>
      <c r="K27" s="48"/>
      <c r="L27" s="105"/>
      <c r="M27" s="97"/>
      <c r="N27" s="97"/>
    </row>
    <row r="28" spans="1:17" ht="15.75" thickBot="1" x14ac:dyDescent="0.3">
      <c r="A28" s="67"/>
      <c r="B28" s="37">
        <v>0.5</v>
      </c>
      <c r="C28" s="38"/>
      <c r="D28" s="128"/>
      <c r="E28" s="128"/>
      <c r="F28" s="63"/>
      <c r="G28" s="48"/>
      <c r="H28" s="48"/>
      <c r="I28" s="48"/>
      <c r="J28" s="51">
        <f>SUM(I23:I27)</f>
        <v>49343.643184432898</v>
      </c>
      <c r="K28" s="48">
        <f>+J$14-J28</f>
        <v>3033.2163975677322</v>
      </c>
      <c r="L28" s="111">
        <f>+K28/($N$6*B28)</f>
        <v>1.4411419828075034</v>
      </c>
      <c r="M28" s="97"/>
      <c r="N28" s="97"/>
    </row>
    <row r="29" spans="1:17" x14ac:dyDescent="0.25">
      <c r="A29" s="76"/>
      <c r="B29" s="44"/>
      <c r="C29" s="12"/>
      <c r="D29" s="52"/>
      <c r="E29" s="52"/>
      <c r="F29" s="64"/>
      <c r="G29" s="52"/>
      <c r="H29" s="52"/>
      <c r="I29" s="52"/>
      <c r="J29" s="53"/>
      <c r="K29" s="52"/>
      <c r="L29" s="106"/>
      <c r="M29" s="97"/>
      <c r="N29" s="97"/>
    </row>
    <row r="30" spans="1:17" x14ac:dyDescent="0.25">
      <c r="A30" s="77">
        <v>1</v>
      </c>
      <c r="B30" s="43"/>
      <c r="C30" s="137" t="s">
        <v>127</v>
      </c>
      <c r="D30" s="55"/>
      <c r="E30" s="55"/>
      <c r="F30" s="61"/>
      <c r="G30" s="46"/>
      <c r="H30" s="54" t="s">
        <v>56</v>
      </c>
      <c r="I30" s="102">
        <v>0</v>
      </c>
      <c r="J30" s="57"/>
      <c r="K30" s="46"/>
      <c r="L30" s="108"/>
      <c r="M30" s="97"/>
      <c r="N30" s="97"/>
    </row>
    <row r="31" spans="1:17" x14ac:dyDescent="0.25">
      <c r="A31" s="67">
        <v>0.1</v>
      </c>
      <c r="B31" s="37"/>
      <c r="C31" s="38" t="s">
        <v>47</v>
      </c>
      <c r="D31" s="114">
        <v>33372.860565185496</v>
      </c>
      <c r="E31" s="114">
        <v>13774.315612792961</v>
      </c>
      <c r="F31" s="62">
        <f>SUM(D31:E31)</f>
        <v>47147.176177978457</v>
      </c>
      <c r="G31" s="48"/>
      <c r="H31" s="47">
        <f>$F$10-F31</f>
        <v>120731.01430511446</v>
      </c>
      <c r="I31" s="49">
        <f t="shared" ref="I31:I32" si="5">+F32*(A31-A32) -( 0.5*(F32-F31)*(A31-A32))</f>
        <v>13731.428602294904</v>
      </c>
      <c r="J31" s="50"/>
      <c r="K31" s="49">
        <f>+I$10-I31</f>
        <v>17414.450413513136</v>
      </c>
      <c r="L31" s="104">
        <f>+K31/(3321.99*B35)</f>
        <v>6.9895656573371729</v>
      </c>
      <c r="M31" s="65"/>
      <c r="N31" s="65"/>
    </row>
    <row r="32" spans="1:17" x14ac:dyDescent="0.25">
      <c r="A32" s="67">
        <v>0.02</v>
      </c>
      <c r="B32" s="37"/>
      <c r="C32" s="22" t="s">
        <v>48</v>
      </c>
      <c r="D32" s="114">
        <v>204033.33970642061</v>
      </c>
      <c r="E32" s="114">
        <v>92105.199172973502</v>
      </c>
      <c r="F32" s="62">
        <f t="shared" ref="F32:F34" si="6">SUM(D32:E32)</f>
        <v>296138.53887939412</v>
      </c>
      <c r="G32" s="48"/>
      <c r="H32" s="47">
        <f>$F$11-F32</f>
        <v>314630.24603271409</v>
      </c>
      <c r="I32" s="49">
        <f t="shared" si="5"/>
        <v>5617.8754788207916</v>
      </c>
      <c r="J32" s="50"/>
      <c r="K32" s="49">
        <f>+I$11-I32</f>
        <v>2452.0675542449899</v>
      </c>
      <c r="L32" s="104">
        <f>+K32/(3321.99*B35)</f>
        <v>0.98417617321544815</v>
      </c>
      <c r="M32" s="65"/>
      <c r="N32" s="65"/>
    </row>
    <row r="33" spans="1:16" x14ac:dyDescent="0.25">
      <c r="A33" s="67">
        <v>0.01</v>
      </c>
      <c r="B33" s="37"/>
      <c r="C33" s="22" t="s">
        <v>49</v>
      </c>
      <c r="D33" s="114">
        <v>577266.147140502</v>
      </c>
      <c r="E33" s="114">
        <v>250170.40974426217</v>
      </c>
      <c r="F33" s="62">
        <f t="shared" si="6"/>
        <v>827436.55688476423</v>
      </c>
      <c r="G33" s="48"/>
      <c r="H33" s="47">
        <f>$F$12-F33</f>
        <v>175783.26481628383</v>
      </c>
      <c r="I33" s="49">
        <f>+F34*(A33-A34) -( 0.5*(F34-F33)*(A33-A34))</f>
        <v>8584.6589788818201</v>
      </c>
      <c r="J33" s="50"/>
      <c r="K33" s="49">
        <f>+I$12-I33</f>
        <v>1526.9924721374518</v>
      </c>
      <c r="L33" s="104">
        <f>+K33/(3321.99*B35)</f>
        <v>0.61288262843956065</v>
      </c>
      <c r="M33" s="65"/>
      <c r="N33" s="65"/>
    </row>
    <row r="34" spans="1:16" ht="15.75" thickBot="1" x14ac:dyDescent="0.3">
      <c r="A34" s="67">
        <v>2E-3</v>
      </c>
      <c r="B34" s="37"/>
      <c r="C34" s="22" t="s">
        <v>50</v>
      </c>
      <c r="D34" s="114">
        <v>860133.26782226411</v>
      </c>
      <c r="E34" s="114">
        <v>458594.92001342692</v>
      </c>
      <c r="F34" s="62">
        <f t="shared" si="6"/>
        <v>1318728.187835691</v>
      </c>
      <c r="G34" s="48"/>
      <c r="H34" s="47">
        <f>$F$13-F34</f>
        <v>205964.85321807838</v>
      </c>
      <c r="I34" s="124">
        <f>A34*F34</f>
        <v>2637.4563756713819</v>
      </c>
      <c r="J34" s="51"/>
      <c r="K34" s="48"/>
      <c r="L34" s="105"/>
      <c r="M34" s="97"/>
      <c r="N34" s="97"/>
    </row>
    <row r="35" spans="1:16" ht="15.75" thickBot="1" x14ac:dyDescent="0.3">
      <c r="A35" s="67"/>
      <c r="B35" s="37">
        <v>0.75</v>
      </c>
      <c r="C35" s="38"/>
      <c r="D35" s="128"/>
      <c r="E35" s="128"/>
      <c r="F35" s="63"/>
      <c r="G35" s="48"/>
      <c r="H35" s="48"/>
      <c r="I35" s="48"/>
      <c r="J35" s="51">
        <f>SUM(I30:I34)</f>
        <v>30571.4194356689</v>
      </c>
      <c r="K35" s="48">
        <f>+J$14-J35</f>
        <v>21805.44014633173</v>
      </c>
      <c r="L35" s="111">
        <f>+K35/($N$6*B35)</f>
        <v>6.9068014783852618</v>
      </c>
      <c r="M35" s="97"/>
      <c r="N35" s="97"/>
    </row>
    <row r="36" spans="1:16" x14ac:dyDescent="0.25">
      <c r="A36" s="76"/>
      <c r="B36" s="44"/>
      <c r="C36" s="12"/>
      <c r="D36" s="52"/>
      <c r="E36" s="52"/>
      <c r="F36" s="64"/>
      <c r="G36" s="52"/>
      <c r="H36" s="52"/>
      <c r="I36" s="52"/>
      <c r="J36" s="53"/>
      <c r="K36" s="52"/>
      <c r="L36" s="106"/>
      <c r="M36" s="97"/>
      <c r="N36" s="97"/>
    </row>
    <row r="37" spans="1:16" x14ac:dyDescent="0.25">
      <c r="A37" s="77">
        <v>1</v>
      </c>
      <c r="B37" s="43"/>
      <c r="C37" s="137" t="s">
        <v>128</v>
      </c>
      <c r="D37" s="55"/>
      <c r="E37" s="55"/>
      <c r="F37" s="61"/>
      <c r="G37" s="46"/>
      <c r="H37" s="54" t="s">
        <v>56</v>
      </c>
      <c r="I37" s="102">
        <v>0</v>
      </c>
      <c r="J37" s="57"/>
      <c r="K37" s="46"/>
      <c r="L37" s="108"/>
      <c r="M37" s="97"/>
      <c r="N37" s="97"/>
    </row>
    <row r="38" spans="1:16" x14ac:dyDescent="0.25">
      <c r="A38" s="67">
        <v>0.1</v>
      </c>
      <c r="B38" s="37"/>
      <c r="C38" s="38" t="s">
        <v>47</v>
      </c>
      <c r="D38" s="114">
        <v>0</v>
      </c>
      <c r="E38" s="114">
        <v>0</v>
      </c>
      <c r="F38" s="62">
        <f>SUM(D38:E38)</f>
        <v>0</v>
      </c>
      <c r="G38" s="48"/>
      <c r="H38" s="47">
        <f>$F$10-F38</f>
        <v>167878.19048309291</v>
      </c>
      <c r="I38" s="49">
        <f t="shared" ref="I38:I39" si="7">+F39*(A38-A39) -( 0.5*(F39-F38)*(A38-A39))</f>
        <v>7266.4075238036985</v>
      </c>
      <c r="J38" s="50"/>
      <c r="K38" s="49">
        <f>+I$10-I38</f>
        <v>23879.471492004341</v>
      </c>
      <c r="L38" s="104">
        <f>+K38/(3321.99*B42)</f>
        <v>7.1883032435390657</v>
      </c>
      <c r="M38" s="65"/>
      <c r="N38" s="65"/>
    </row>
    <row r="39" spans="1:16" x14ac:dyDescent="0.25">
      <c r="A39" s="67">
        <v>0.02</v>
      </c>
      <c r="B39" s="37"/>
      <c r="C39" s="22" t="s">
        <v>48</v>
      </c>
      <c r="D39" s="114">
        <v>125096.0988616941</v>
      </c>
      <c r="E39" s="114">
        <v>56564.089233398343</v>
      </c>
      <c r="F39" s="62">
        <f t="shared" ref="F39:F41" si="8">SUM(D39:E39)</f>
        <v>181660.18809509245</v>
      </c>
      <c r="G39" s="48"/>
      <c r="H39" s="47">
        <f>$F$11-F39</f>
        <v>429108.59681701579</v>
      </c>
      <c r="I39" s="49">
        <f t="shared" si="7"/>
        <v>4018.8234503173758</v>
      </c>
      <c r="J39" s="50"/>
      <c r="K39" s="49">
        <f>+I$11-I39</f>
        <v>4051.1195827484057</v>
      </c>
      <c r="L39" s="104">
        <f>+K39/(3321.99*B42)</f>
        <v>1.219485784950709</v>
      </c>
      <c r="M39" s="65"/>
      <c r="N39" s="65"/>
    </row>
    <row r="40" spans="1:16" x14ac:dyDescent="0.25">
      <c r="A40" s="67">
        <v>0.01</v>
      </c>
      <c r="B40" s="37"/>
      <c r="C40" s="22" t="s">
        <v>49</v>
      </c>
      <c r="D40" s="114">
        <v>430345.23503112717</v>
      </c>
      <c r="E40" s="114">
        <v>191759.26693725557</v>
      </c>
      <c r="F40" s="62">
        <f t="shared" si="8"/>
        <v>622104.50196838274</v>
      </c>
      <c r="G40" s="48"/>
      <c r="H40" s="47">
        <f>$F$12-F40</f>
        <v>381115.31973266532</v>
      </c>
      <c r="I40" s="49">
        <f>+F41*(A40-A41) -( 0.5*(F41-F40)*(A40-A41))</f>
        <v>6683.3463356017983</v>
      </c>
      <c r="J40" s="50"/>
      <c r="K40" s="49">
        <f>+I$12-I40</f>
        <v>3428.3051154174736</v>
      </c>
      <c r="L40" s="104">
        <f>+K40/(3321.99*B42)</f>
        <v>1.0320034423395235</v>
      </c>
      <c r="M40" s="65"/>
      <c r="N40" s="65"/>
    </row>
    <row r="41" spans="1:16" ht="15.75" thickBot="1" x14ac:dyDescent="0.3">
      <c r="A41" s="67">
        <v>2E-3</v>
      </c>
      <c r="B41" s="37"/>
      <c r="C41" s="22" t="s">
        <v>50</v>
      </c>
      <c r="D41" s="114">
        <v>705101.21172332729</v>
      </c>
      <c r="E41" s="114">
        <v>343630.87020873971</v>
      </c>
      <c r="F41" s="62">
        <f t="shared" si="8"/>
        <v>1048732.0819320669</v>
      </c>
      <c r="G41" s="48"/>
      <c r="H41" s="47">
        <f>$F$13-F41</f>
        <v>475960.95912170247</v>
      </c>
      <c r="I41" s="124">
        <f>A41*F41</f>
        <v>2097.4641638641338</v>
      </c>
      <c r="J41" s="51"/>
      <c r="K41" s="48"/>
      <c r="L41" s="105"/>
      <c r="M41" s="97"/>
      <c r="N41" s="97"/>
    </row>
    <row r="42" spans="1:16" ht="15.75" thickBot="1" x14ac:dyDescent="0.3">
      <c r="A42" s="67"/>
      <c r="B42" s="37">
        <v>1</v>
      </c>
      <c r="C42" s="37"/>
      <c r="D42" s="48"/>
      <c r="E42" s="48"/>
      <c r="F42" s="63"/>
      <c r="G42" s="48"/>
      <c r="H42" s="48"/>
      <c r="I42" s="48"/>
      <c r="J42" s="51">
        <f>SUM(I37:I41)</f>
        <v>20066.041473587007</v>
      </c>
      <c r="K42" s="48">
        <f>+J$14-J42</f>
        <v>32310.818108413623</v>
      </c>
      <c r="L42" s="111">
        <f>+K42/($N$6*B42)</f>
        <v>7.6757590576509473</v>
      </c>
      <c r="M42" s="97"/>
      <c r="N42" s="97"/>
    </row>
    <row r="43" spans="1:16" ht="15.75" thickBot="1" x14ac:dyDescent="0.3">
      <c r="A43" s="68"/>
      <c r="B43" s="59"/>
      <c r="C43" s="59"/>
      <c r="D43" s="69"/>
      <c r="E43" s="69"/>
      <c r="F43" s="78"/>
      <c r="G43" s="69"/>
      <c r="H43" s="69"/>
      <c r="I43" s="69"/>
      <c r="J43" s="70"/>
      <c r="K43" s="69"/>
      <c r="L43" s="109"/>
      <c r="M43" s="97"/>
      <c r="N43" s="97"/>
    </row>
    <row r="45" spans="1:16" x14ac:dyDescent="0.25">
      <c r="P45" s="41"/>
    </row>
  </sheetData>
  <mergeCells count="6">
    <mergeCell ref="A1:D1"/>
    <mergeCell ref="I6:J8"/>
    <mergeCell ref="K6:K8"/>
    <mergeCell ref="L6:L8"/>
    <mergeCell ref="M6:M8"/>
    <mergeCell ref="A7:A8"/>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2605137D65ADC448D6E5E0590308E90" ma:contentTypeVersion="8" ma:contentTypeDescription="Create a new document." ma:contentTypeScope="" ma:versionID="188925f88bc5ea3b18fdb002daa2fa57">
  <xsd:schema xmlns:xsd="http://www.w3.org/2001/XMLSchema" xmlns:xs="http://www.w3.org/2001/XMLSchema" xmlns:p="http://schemas.microsoft.com/office/2006/metadata/properties" xmlns:ns3="692cd00b-7819-444d-9117-6cf0f6f967bc" targetNamespace="http://schemas.microsoft.com/office/2006/metadata/properties" ma:root="true" ma:fieldsID="493d7a9dd4864549e940fa61d977a143" ns3:_="">
    <xsd:import namespace="692cd00b-7819-444d-9117-6cf0f6f967bc"/>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GenerationTime" minOccurs="0"/>
                <xsd:element ref="ns3:MediaServiceEventHashCode"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92cd00b-7819-444d-9117-6cf0f6f967b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88F2FB1-C1E0-4058-9403-17456CE904C9}">
  <ds:schemaRefs>
    <ds:schemaRef ds:uri="http://schemas.microsoft.com/sharepoint/v3/contenttype/forms"/>
  </ds:schemaRefs>
</ds:datastoreItem>
</file>

<file path=customXml/itemProps2.xml><?xml version="1.0" encoding="utf-8"?>
<ds:datastoreItem xmlns:ds="http://schemas.openxmlformats.org/officeDocument/2006/customXml" ds:itemID="{43AF0E9B-B18E-4125-A413-391B4C992361}">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62C8D060-643E-4E01-BCEE-AC832BE67CB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92cd00b-7819-444d-9117-6cf0f6f967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Flow</vt:lpstr>
      <vt:lpstr>Carrol_Creek_Comp</vt:lpstr>
      <vt:lpstr>Initial Damage Calcs_Crouch</vt:lpstr>
      <vt:lpstr>Table Results</vt:lpstr>
      <vt:lpstr>CarrolCreek_Load Source</vt:lpstr>
      <vt:lpstr>CarrolCreek_Retention</vt:lpstr>
      <vt:lpstr>Chesterfield_Load Source</vt:lpstr>
      <vt:lpstr>Chesterfield_Retention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Crouch, Michael</dc:creator>
  <cp:lastModifiedBy>Van Houtven, George L.</cp:lastModifiedBy>
  <dcterms:created xsi:type="dcterms:W3CDTF">2020-01-27T20:52:24Z</dcterms:created>
  <dcterms:modified xsi:type="dcterms:W3CDTF">2020-04-30T00:57:32Z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0x01010062605137D65ADC448D6E5E0590308E90</vt:lpwstr>
  </property>
</Properties>
</file>